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0.10.0.221\pto\Сметы\СМЕТЫ по объектам 2018-2022\Столичный\2021-стоянка (Бобрыш)\ПРОЕКТНОЕ ФИНАНСИРОВАНИЕ 2022\"/>
    </mc:Choice>
  </mc:AlternateContent>
  <xr:revisionPtr revIDLastSave="0" documentId="13_ncr:1_{C32FC87E-A1D0-4C3C-8FEF-D7BF1E4F3CA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ТЭП ()" sheetId="45" r:id="rId1"/>
    <sheet name="смета  ниже 0,000-остаток" sheetId="35" r:id="rId2"/>
    <sheet name="смета отсек1 выше нуля-остаток " sheetId="10" r:id="rId3"/>
    <sheet name="кладка" sheetId="39" r:id="rId4"/>
    <sheet name="ограждения" sheetId="36" r:id="rId5"/>
    <sheet name="крытая стоянка" sheetId="9" r:id="rId6"/>
    <sheet name="МПИ" sheetId="12" r:id="rId7"/>
    <sheet name="фасад" sheetId="27" r:id="rId8"/>
    <sheet name="отделка" sheetId="13" r:id="rId9"/>
    <sheet name="полы" sheetId="37" r:id="rId10"/>
    <sheet name="кровля" sheetId="14" r:id="rId11"/>
    <sheet name="ВК" sheetId="15" r:id="rId12"/>
    <sheet name="ОВ" sheetId="16" r:id="rId13"/>
    <sheet name="ЭО.ЭМ" sheetId="17" r:id="rId14"/>
    <sheet name="АСП" sheetId="18" r:id="rId15"/>
    <sheet name="АСУД" sheetId="19" r:id="rId16"/>
    <sheet name="ПДВ" sheetId="20" r:id="rId17"/>
    <sheet name="пож сигн" sheetId="21" r:id="rId18"/>
    <sheet name="СС" sheetId="22" r:id="rId19"/>
    <sheet name="НВК" sheetId="23" r:id="rId20"/>
    <sheet name="благоустр.озел" sheetId="24" r:id="rId21"/>
    <sheet name="благоустр.трот" sheetId="41" r:id="rId22"/>
    <sheet name="благоустр. (покрыт)" sheetId="42" r:id="rId23"/>
    <sheet name="благоустр. (маф)" sheetId="43" r:id="rId24"/>
    <sheet name="ТЭП" sheetId="44" r:id="rId25"/>
  </sheets>
  <definedNames>
    <definedName name="Constr" localSheetId="19">НВК!#REF!</definedName>
    <definedName name="FOT" localSheetId="19">НВК!#REF!</definedName>
    <definedName name="Ind" localSheetId="19">НВК!#REF!</definedName>
    <definedName name="Obj" localSheetId="19">НВК!#REF!</definedName>
    <definedName name="Obosn" localSheetId="19">НВК!#REF!</definedName>
    <definedName name="SmPr" localSheetId="19">НВК!#REF!</definedName>
    <definedName name="_xlnm.Print_Titles" localSheetId="19">НВК!#REF!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42" l="1"/>
  <c r="E28" i="41"/>
  <c r="E31" i="41"/>
  <c r="E44" i="41"/>
  <c r="E46" i="41"/>
  <c r="E47" i="41" s="1"/>
  <c r="E48" i="41"/>
  <c r="E50" i="41"/>
  <c r="E51" i="41"/>
  <c r="E17" i="42"/>
  <c r="E14" i="42"/>
  <c r="E13" i="42"/>
  <c r="E12" i="42"/>
  <c r="E11" i="42"/>
  <c r="E10" i="42"/>
  <c r="E42" i="41"/>
  <c r="E35" i="41"/>
  <c r="E33" i="41"/>
  <c r="E37" i="41" s="1"/>
  <c r="E25" i="41"/>
  <c r="E20" i="41"/>
  <c r="E21" i="41" s="1"/>
  <c r="E18" i="41"/>
  <c r="E16" i="41"/>
  <c r="E22" i="41" s="1"/>
  <c r="E15" i="41"/>
  <c r="E10" i="41"/>
  <c r="E8" i="41"/>
  <c r="E6" i="41"/>
  <c r="E12" i="41" s="1"/>
  <c r="E15" i="42" l="1"/>
  <c r="E52" i="41"/>
  <c r="E45" i="41"/>
  <c r="E11" i="41"/>
  <c r="E36" i="41"/>
  <c r="E19" i="41"/>
  <c r="E23" i="41"/>
  <c r="E40" i="41"/>
  <c r="E38" i="41"/>
  <c r="E39" i="41"/>
  <c r="E9" i="41"/>
  <c r="E13" i="41"/>
  <c r="E215" i="39" l="1"/>
  <c r="E212" i="39"/>
  <c r="E211" i="39"/>
  <c r="E204" i="39"/>
  <c r="E203" i="39"/>
  <c r="E202" i="39"/>
  <c r="E201" i="39"/>
  <c r="E200" i="39"/>
  <c r="E198" i="39"/>
  <c r="E197" i="39"/>
  <c r="E195" i="39"/>
  <c r="E193" i="39"/>
  <c r="E192" i="39"/>
  <c r="E188" i="39"/>
  <c r="E186" i="39"/>
  <c r="E184" i="39"/>
  <c r="E183" i="39"/>
  <c r="E182" i="39"/>
  <c r="E180" i="39"/>
  <c r="E179" i="39"/>
  <c r="E176" i="39"/>
  <c r="E174" i="39"/>
  <c r="E173" i="39"/>
  <c r="E171" i="39" s="1"/>
  <c r="E172" i="39"/>
  <c r="E175" i="39" s="1"/>
  <c r="E170" i="39"/>
  <c r="E169" i="39"/>
  <c r="E165" i="39"/>
  <c r="E163" i="39"/>
  <c r="E161" i="39"/>
  <c r="E160" i="39"/>
  <c r="E158" i="39"/>
  <c r="E156" i="39"/>
  <c r="E152" i="39"/>
  <c r="E151" i="39"/>
  <c r="E150" i="39"/>
  <c r="E148" i="39"/>
  <c r="E147" i="39"/>
  <c r="E143" i="39"/>
  <c r="E142" i="39"/>
  <c r="E140" i="39"/>
  <c r="E139" i="39"/>
  <c r="E138" i="39"/>
  <c r="E137" i="39"/>
  <c r="E135" i="39"/>
  <c r="E129" i="39"/>
  <c r="E126" i="39"/>
  <c r="E125" i="39"/>
  <c r="E124" i="39"/>
  <c r="E123" i="39"/>
  <c r="E122" i="39"/>
  <c r="E127" i="39" s="1"/>
  <c r="E118" i="39"/>
  <c r="E117" i="39"/>
  <c r="E116" i="39"/>
  <c r="E115" i="39"/>
  <c r="E114" i="39"/>
  <c r="E119" i="39" s="1"/>
  <c r="E110" i="39"/>
  <c r="E109" i="39"/>
  <c r="E108" i="39"/>
  <c r="E107" i="39"/>
  <c r="E104" i="39"/>
  <c r="E103" i="39"/>
  <c r="E102" i="39"/>
  <c r="E105" i="39" s="1"/>
  <c r="E100" i="39"/>
  <c r="E98" i="39"/>
  <c r="E97" i="39"/>
  <c r="E94" i="39"/>
  <c r="E92" i="39"/>
  <c r="E91" i="39"/>
  <c r="E87" i="39"/>
  <c r="E85" i="39"/>
  <c r="E84" i="39"/>
  <c r="E81" i="39"/>
  <c r="E79" i="39"/>
  <c r="E78" i="39"/>
  <c r="E77" i="39"/>
  <c r="E80" i="39" s="1"/>
  <c r="E76" i="39"/>
  <c r="E75" i="39"/>
  <c r="E74" i="39"/>
  <c r="E73" i="39"/>
  <c r="E72" i="39"/>
  <c r="E69" i="39"/>
  <c r="E67" i="39"/>
  <c r="E66" i="39"/>
  <c r="E65" i="39"/>
  <c r="E64" i="39"/>
  <c r="E63" i="39"/>
  <c r="E62" i="39"/>
  <c r="E61" i="39"/>
  <c r="E59" i="39"/>
  <c r="E58" i="39"/>
  <c r="E56" i="39"/>
  <c r="E51" i="39"/>
  <c r="E50" i="39"/>
  <c r="E49" i="39"/>
  <c r="E52" i="39" s="1"/>
  <c r="E45" i="39"/>
  <c r="E42" i="39"/>
  <c r="E41" i="39"/>
  <c r="E40" i="39"/>
  <c r="E38" i="39"/>
  <c r="E36" i="39"/>
  <c r="E34" i="39"/>
  <c r="E33" i="39"/>
  <c r="E32" i="39"/>
  <c r="E31" i="39"/>
  <c r="E35" i="39" s="1"/>
  <c r="E29" i="39"/>
  <c r="E28" i="39"/>
  <c r="E27" i="39"/>
  <c r="E23" i="39"/>
  <c r="E21" i="39"/>
  <c r="E20" i="39"/>
  <c r="E19" i="39"/>
  <c r="E22" i="39" s="1"/>
  <c r="E18" i="39"/>
  <c r="E17" i="39"/>
  <c r="E16" i="39"/>
  <c r="E12" i="39"/>
  <c r="E9" i="39"/>
  <c r="E8" i="39"/>
  <c r="E7" i="39"/>
  <c r="E210" i="39" l="1"/>
  <c r="E213" i="39" s="1"/>
  <c r="E10" i="39"/>
  <c r="E217" i="39"/>
  <c r="E219" i="39" s="1"/>
  <c r="E43" i="39"/>
  <c r="E159" i="39"/>
  <c r="E68" i="39"/>
  <c r="E90" i="39"/>
  <c r="E111" i="39"/>
  <c r="E216" i="39"/>
  <c r="E218" i="39" l="1"/>
  <c r="E93" i="39"/>
  <c r="E162" i="39"/>
  <c r="F38" i="37" l="1"/>
  <c r="F37" i="37"/>
  <c r="F36" i="37"/>
  <c r="F31" i="37"/>
  <c r="F33" i="37" s="1"/>
  <c r="F26" i="37"/>
  <c r="F29" i="37" s="1"/>
  <c r="F19" i="37"/>
  <c r="F15" i="37"/>
  <c r="F14" i="37"/>
  <c r="F13" i="37"/>
  <c r="F11" i="37"/>
  <c r="F16" i="37" s="1"/>
  <c r="F10" i="37"/>
  <c r="F9" i="37"/>
  <c r="F8" i="37"/>
  <c r="E60" i="14"/>
  <c r="E59" i="14"/>
  <c r="E57" i="14"/>
  <c r="E53" i="14"/>
  <c r="E52" i="14"/>
  <c r="E51" i="14"/>
  <c r="E50" i="14"/>
  <c r="E49" i="14"/>
  <c r="E54" i="14" s="1"/>
  <c r="D10" i="36"/>
  <c r="D8" i="36"/>
  <c r="E58" i="14" l="1"/>
  <c r="F27" i="37"/>
  <c r="F28" i="37"/>
  <c r="F32" i="37"/>
  <c r="F35" i="37"/>
  <c r="F30" i="37"/>
  <c r="F34" i="37"/>
  <c r="E61" i="14" l="1"/>
  <c r="E8" i="24"/>
  <c r="E20" i="21" l="1"/>
  <c r="E6" i="24"/>
  <c r="F28" i="27" l="1"/>
  <c r="F27" i="27"/>
  <c r="F26" i="27"/>
  <c r="F25" i="27"/>
  <c r="F23" i="27"/>
  <c r="F22" i="27"/>
  <c r="F21" i="27"/>
  <c r="F17" i="27"/>
  <c r="F16" i="27"/>
  <c r="F15" i="27"/>
  <c r="F14" i="27"/>
  <c r="F12" i="27" l="1"/>
  <c r="F11" i="27"/>
  <c r="F10" i="27"/>
  <c r="F9" i="27"/>
  <c r="F8" i="27"/>
  <c r="F7" i="27"/>
  <c r="F6" i="27"/>
  <c r="E18" i="14" l="1"/>
  <c r="E16" i="14"/>
  <c r="E13" i="14"/>
  <c r="E11" i="14"/>
  <c r="E9" i="14"/>
  <c r="E8" i="14"/>
  <c r="E7" i="14"/>
  <c r="E21" i="14"/>
  <c r="E23" i="14"/>
  <c r="E26" i="14"/>
  <c r="E29" i="14"/>
  <c r="E32" i="14"/>
  <c r="F5" i="35"/>
  <c r="F7" i="35"/>
  <c r="F8" i="35"/>
  <c r="F9" i="35" l="1"/>
  <c r="F6" i="35"/>
  <c r="F33" i="10" l="1"/>
  <c r="E42" i="14" l="1"/>
  <c r="E41" i="14"/>
  <c r="E44" i="14" l="1"/>
  <c r="E46" i="14" s="1"/>
  <c r="E43" i="14"/>
  <c r="E45" i="14" l="1"/>
  <c r="F54" i="10" l="1"/>
  <c r="F53" i="10"/>
  <c r="F51" i="10"/>
  <c r="F50" i="10"/>
  <c r="F49" i="10"/>
  <c r="F47" i="10"/>
  <c r="F46" i="10"/>
  <c r="F40" i="10"/>
  <c r="F39" i="10"/>
  <c r="F37" i="10"/>
  <c r="F36" i="10"/>
  <c r="F35" i="10"/>
  <c r="F32" i="10"/>
  <c r="F25" i="10"/>
  <c r="F24" i="10"/>
  <c r="F22" i="10"/>
  <c r="F23" i="10" s="1"/>
  <c r="F17" i="10"/>
  <c r="F21" i="10" s="1"/>
  <c r="F5" i="10"/>
  <c r="F7" i="10"/>
  <c r="F6" i="10"/>
  <c r="F20" i="10"/>
  <c r="F19" i="10"/>
  <c r="F14" i="10"/>
  <c r="F13" i="10"/>
  <c r="F12" i="10"/>
  <c r="F11" i="10"/>
  <c r="F10" i="10"/>
  <c r="F9" i="10"/>
  <c r="F8" i="10"/>
  <c r="F18" i="10" l="1"/>
  <c r="D25" i="9" l="1"/>
  <c r="D26" i="9" s="1"/>
  <c r="D20" i="9"/>
  <c r="D14" i="9"/>
  <c r="D13" i="9"/>
  <c r="D12" i="9"/>
  <c r="D27" i="9"/>
  <c r="D28" i="9" s="1"/>
  <c r="D22" i="9"/>
  <c r="D7" i="9"/>
  <c r="F19" i="27" l="1"/>
  <c r="E7" i="24" l="1"/>
  <c r="E9" i="24"/>
  <c r="E23" i="18" l="1"/>
  <c r="C65" i="23" l="1"/>
  <c r="C55" i="23"/>
  <c r="C50" i="23"/>
  <c r="C51" i="23" s="1"/>
  <c r="C34" i="23" l="1"/>
  <c r="C33" i="23"/>
  <c r="C32" i="23"/>
  <c r="C29" i="23"/>
  <c r="C30" i="23" s="1"/>
  <c r="C31" i="23"/>
  <c r="C20" i="23"/>
  <c r="C19" i="23"/>
  <c r="C10" i="23"/>
  <c r="C17" i="23"/>
  <c r="C11" i="23" l="1"/>
  <c r="E55" i="22" l="1"/>
  <c r="E53" i="22"/>
  <c r="E50" i="22"/>
  <c r="E41" i="22"/>
  <c r="E22" i="22" l="1"/>
  <c r="E21" i="22" l="1"/>
  <c r="E41" i="21"/>
  <c r="E31" i="21"/>
  <c r="E26" i="21"/>
  <c r="E15" i="21" l="1"/>
  <c r="E9" i="21"/>
  <c r="E34" i="20"/>
  <c r="E9" i="20"/>
  <c r="E8" i="20"/>
  <c r="E23" i="19"/>
  <c r="E70" i="17" l="1"/>
  <c r="E69" i="17"/>
  <c r="E68" i="17"/>
  <c r="E67" i="17"/>
  <c r="E66" i="17"/>
  <c r="E64" i="17"/>
  <c r="E63" i="17"/>
  <c r="E44" i="17"/>
  <c r="E36" i="17"/>
  <c r="E31" i="17"/>
  <c r="E9" i="17" l="1"/>
  <c r="E15" i="17"/>
  <c r="E13" i="17"/>
  <c r="E16" i="17"/>
  <c r="E18" i="17"/>
  <c r="E17" i="17"/>
  <c r="E10" i="17"/>
  <c r="E8" i="17"/>
  <c r="E25" i="17"/>
  <c r="E14" i="17"/>
  <c r="E6" i="17"/>
  <c r="F45" i="16" l="1"/>
  <c r="F22" i="16"/>
  <c r="F44" i="16"/>
  <c r="F38" i="16"/>
  <c r="F37" i="16"/>
  <c r="F31" i="16"/>
  <c r="F30" i="16"/>
  <c r="F10" i="16"/>
  <c r="F7" i="16"/>
  <c r="F52" i="16"/>
  <c r="F51" i="16"/>
  <c r="F50" i="16"/>
  <c r="F41" i="16"/>
  <c r="F40" i="16"/>
  <c r="F39" i="16"/>
  <c r="F32" i="16"/>
  <c r="F28" i="16"/>
  <c r="F27" i="16"/>
  <c r="F26" i="16"/>
  <c r="F20" i="16"/>
  <c r="F16" i="16"/>
  <c r="F9" i="16" l="1"/>
  <c r="F6" i="16"/>
  <c r="F46" i="15" l="1"/>
  <c r="F135" i="15"/>
  <c r="F133" i="15"/>
  <c r="F131" i="15"/>
  <c r="F127" i="15"/>
  <c r="F121" i="15"/>
  <c r="F120" i="15"/>
  <c r="F104" i="15"/>
  <c r="F102" i="15"/>
  <c r="F99" i="15"/>
  <c r="F97" i="15"/>
  <c r="F95" i="15"/>
  <c r="F93" i="15"/>
  <c r="F81" i="15"/>
  <c r="F80" i="15" s="1"/>
  <c r="F76" i="15"/>
  <c r="F75" i="15"/>
  <c r="F72" i="15"/>
  <c r="F70" i="15"/>
  <c r="F63" i="15"/>
  <c r="F62" i="15"/>
  <c r="F61" i="15"/>
  <c r="F60" i="15"/>
  <c r="F59" i="15"/>
  <c r="F58" i="15"/>
  <c r="F57" i="15"/>
  <c r="F43" i="15"/>
  <c r="F36" i="15"/>
  <c r="F33" i="15"/>
  <c r="F24" i="15"/>
  <c r="F20" i="15"/>
  <c r="F18" i="15"/>
  <c r="F13" i="15"/>
  <c r="F11" i="15"/>
  <c r="F9" i="15"/>
  <c r="F7" i="15"/>
  <c r="E36" i="14"/>
  <c r="E15" i="14" l="1"/>
  <c r="E12" i="14"/>
  <c r="F74" i="15"/>
  <c r="E17" i="14" l="1"/>
  <c r="E14" i="14"/>
  <c r="F69" i="13" l="1"/>
  <c r="F73" i="13" s="1"/>
  <c r="F55" i="13"/>
  <c r="F56" i="13" s="1"/>
  <c r="F51" i="13"/>
  <c r="F52" i="13" s="1"/>
  <c r="F15" i="13"/>
  <c r="F9" i="13"/>
  <c r="F11" i="13"/>
  <c r="F12" i="13"/>
  <c r="F13" i="13"/>
  <c r="F64" i="13"/>
  <c r="F65" i="13" s="1"/>
  <c r="F60" i="13"/>
  <c r="F61" i="13" s="1"/>
  <c r="F49" i="13"/>
  <c r="F48" i="13"/>
  <c r="F47" i="13"/>
  <c r="F46" i="13"/>
  <c r="F44" i="13"/>
  <c r="F43" i="13"/>
  <c r="F37" i="13"/>
  <c r="F36" i="13"/>
  <c r="F35" i="13"/>
  <c r="F34" i="13"/>
  <c r="F28" i="13"/>
  <c r="F24" i="13"/>
  <c r="F23" i="13"/>
  <c r="F22" i="13"/>
  <c r="F21" i="13"/>
  <c r="F20" i="13"/>
  <c r="F8" i="13"/>
  <c r="F53" i="12"/>
  <c r="F51" i="12"/>
  <c r="F50" i="12"/>
  <c r="F48" i="12"/>
  <c r="F46" i="12"/>
  <c r="F44" i="12"/>
  <c r="F43" i="12"/>
  <c r="F41" i="12"/>
  <c r="F40" i="12"/>
  <c r="F38" i="12"/>
  <c r="F37" i="12"/>
  <c r="F35" i="12"/>
  <c r="F34" i="12"/>
  <c r="F32" i="12"/>
  <c r="F31" i="12"/>
  <c r="F30" i="12"/>
  <c r="F27" i="12"/>
  <c r="F23" i="12"/>
  <c r="F21" i="12"/>
  <c r="F20" i="12"/>
  <c r="F18" i="12"/>
  <c r="F17" i="12"/>
  <c r="F15" i="12"/>
  <c r="F14" i="12"/>
  <c r="F12" i="12"/>
  <c r="F11" i="12"/>
  <c r="F9" i="12"/>
  <c r="F8" i="12"/>
  <c r="F7" i="12"/>
  <c r="F18" i="13" l="1"/>
  <c r="F32" i="13"/>
  <c r="F30" i="13"/>
  <c r="F17" i="13"/>
  <c r="F16" i="13"/>
  <c r="F29" i="13"/>
  <c r="F27" i="13"/>
  <c r="F31" i="13"/>
  <c r="F54" i="13"/>
  <c r="F59" i="13"/>
  <c r="F68" i="13"/>
  <c r="F72" i="13"/>
  <c r="F26" i="13"/>
  <c r="F53" i="13"/>
  <c r="F58" i="13"/>
  <c r="F63" i="13"/>
  <c r="F67" i="13"/>
  <c r="F71" i="13"/>
  <c r="F25" i="13"/>
  <c r="F57" i="13"/>
  <c r="F62" i="13"/>
  <c r="F66" i="13"/>
  <c r="F70" i="13"/>
  <c r="F15" i="10" l="1"/>
  <c r="F55" i="10"/>
  <c r="F52" i="10"/>
  <c r="F48" i="10"/>
  <c r="F56" i="10"/>
  <c r="F44" i="10"/>
  <c r="F43" i="10"/>
  <c r="F42" i="10"/>
  <c r="F34" i="10"/>
  <c r="F31" i="10"/>
  <c r="F30" i="10"/>
  <c r="F29" i="10"/>
  <c r="F28" i="10"/>
  <c r="F26" i="10"/>
  <c r="F45" i="10" l="1"/>
  <c r="F16" i="10"/>
  <c r="D33" i="9" l="1"/>
  <c r="D32" i="9"/>
  <c r="D23" i="9"/>
  <c r="D9" i="9"/>
  <c r="D11" i="9"/>
  <c r="D21" i="9"/>
  <c r="D19" i="9"/>
  <c r="D18" i="9"/>
  <c r="D17" i="9"/>
  <c r="D16" i="9"/>
  <c r="D2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42" authorId="0" shapeId="0" xr:uid="{00000000-0006-0000-10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ИСКЛЮЧЕНЫ ПО УКАЗАНИЮ Гонтарь Д.И.</t>
        </r>
      </text>
    </comment>
  </commentList>
</comments>
</file>

<file path=xl/sharedStrings.xml><?xml version="1.0" encoding="utf-8"?>
<sst xmlns="http://schemas.openxmlformats.org/spreadsheetml/2006/main" count="2283" uniqueCount="874">
  <si>
    <t>м3</t>
  </si>
  <si>
    <t>тн</t>
  </si>
  <si>
    <t>ф12 А500</t>
  </si>
  <si>
    <t>ф10 А500</t>
  </si>
  <si>
    <t>ф8 А240</t>
  </si>
  <si>
    <t>Рамы (Рм1-Рм14)</t>
  </si>
  <si>
    <t>кг</t>
  </si>
  <si>
    <t>м2</t>
  </si>
  <si>
    <t>шт.</t>
  </si>
  <si>
    <t xml:space="preserve"> Многоуровневая стоянка автомобилей открытого типа, по ул.Железнодорожная в г. Симферополь. Отсек №1</t>
  </si>
  <si>
    <t>Отсек №1. Выше отм. 0.000</t>
  </si>
  <si>
    <t>№</t>
  </si>
  <si>
    <t>Перечень работ:</t>
  </si>
  <si>
    <t>Ед. изм.</t>
  </si>
  <si>
    <t>Объем работ:                  Всего :</t>
  </si>
  <si>
    <t>куб.м</t>
  </si>
  <si>
    <t>бетон В 25</t>
  </si>
  <si>
    <t>бетон В 15</t>
  </si>
  <si>
    <t>арматура ф20 А500</t>
  </si>
  <si>
    <t>арматура ф18 А500</t>
  </si>
  <si>
    <t>арматура ф16 А500</t>
  </si>
  <si>
    <t>арматура ф12 А500</t>
  </si>
  <si>
    <t>арматура ф10 А500</t>
  </si>
  <si>
    <t>арматура ф8 А500</t>
  </si>
  <si>
    <t>арматура ф8 А240</t>
  </si>
  <si>
    <t>полоса 60х60х12</t>
  </si>
  <si>
    <t>Проволока</t>
  </si>
  <si>
    <t>Перекрытия (отм.+2.500, +5.300, +8,100, +10,900, +13,700)</t>
  </si>
  <si>
    <t>арматура ф12А500</t>
  </si>
  <si>
    <t>Рампы (1-2,2-3,3-4,4-5) 4 шт.</t>
  </si>
  <si>
    <t>Узлы А,Б,В (1,2,3)
А,Б- ж/б основание под крышный вентилятор 
В-ж/б стенки люка выхода на кровлю</t>
  </si>
  <si>
    <t>бетон В 20</t>
  </si>
  <si>
    <t>арматура ф10А500</t>
  </si>
  <si>
    <t>проволока</t>
  </si>
  <si>
    <t>Лестнично-лифтовой узел №1</t>
  </si>
  <si>
    <t>арматура ф6 А240</t>
  </si>
  <si>
    <t>прокат листовой</t>
  </si>
  <si>
    <t>сталь угловая 50х50х4</t>
  </si>
  <si>
    <t>труба профильная 50х50х4</t>
  </si>
  <si>
    <t>швеллер 10</t>
  </si>
  <si>
    <t>Лестнично-лифтовой узел №2</t>
  </si>
  <si>
    <t>арматура ф10 А240</t>
  </si>
  <si>
    <t>Навес (раздел км)</t>
  </si>
  <si>
    <t>бетон В 7,5</t>
  </si>
  <si>
    <t>проф.тр.100*100*5</t>
  </si>
  <si>
    <t>проф.тр.60*60*5</t>
  </si>
  <si>
    <t>проф.тр.40*40*4</t>
  </si>
  <si>
    <t>проф.тр.90*90*6</t>
  </si>
  <si>
    <t>лист 10мм</t>
  </si>
  <si>
    <t>крепления, закладные</t>
  </si>
  <si>
    <t xml:space="preserve">Доработка грунта вручную </t>
  </si>
  <si>
    <t>шт</t>
  </si>
  <si>
    <t>м/п</t>
  </si>
  <si>
    <t>л</t>
  </si>
  <si>
    <t xml:space="preserve">Устройство бетонной подготовки    </t>
  </si>
  <si>
    <t>Наименование</t>
  </si>
  <si>
    <t xml:space="preserve">Многоуровневая стоянка автомобилей открытого типа, по ул.Железнодорожная в г. Симферополь. </t>
  </si>
  <si>
    <t>ед-ца изм.</t>
  </si>
  <si>
    <t>по проекту</t>
  </si>
  <si>
    <t>Газобетон марки D-600 (б=200мм)</t>
  </si>
  <si>
    <t>Газобетон марки D-600 (б=100мм)</t>
  </si>
  <si>
    <t>клей для газоблока</t>
  </si>
  <si>
    <t>горизонтальное армирование</t>
  </si>
  <si>
    <t>Метал. деталь МД-1 (вес 1,98кг)</t>
  </si>
  <si>
    <t>Метал. деталь МД-2 (вес 1,9кг)</t>
  </si>
  <si>
    <t>уголок 50х4</t>
  </si>
  <si>
    <t>полоса 3х80</t>
  </si>
  <si>
    <t>распорный анкер М12</t>
  </si>
  <si>
    <t>Камень-ракушечник М-35 
б=200мм</t>
  </si>
  <si>
    <t>раствор М-50</t>
  </si>
  <si>
    <t>арматура ф6А240</t>
  </si>
  <si>
    <t>уголок 60х5</t>
  </si>
  <si>
    <t>полоса 3х50</t>
  </si>
  <si>
    <t>клиновой анкер М8</t>
  </si>
  <si>
    <t>сетка С-1 (60,1 м.п.)</t>
  </si>
  <si>
    <t>1-й этаж отм. -0,100 ЛЛУ №1</t>
  </si>
  <si>
    <t>Газобетон марки D-600 (б=400мм)</t>
  </si>
  <si>
    <t>Газобетон марки D-600 (б=200,300мм)</t>
  </si>
  <si>
    <t>Метал. деталь МД-3 (вес 2,2кг)</t>
  </si>
  <si>
    <t>Метал. деталь МД-4 (вес 2,58кг)</t>
  </si>
  <si>
    <t>Типовой этаж (2-5) расчет на 5 эт. (ЛЛУ№1) с отм. +2,800 до отм. +11,200</t>
  </si>
  <si>
    <t>Типовой этаж (1-5) расчет на 5 эт. (ЛЛУ№2 ) с отм. -0,100 до отм.+11,100</t>
  </si>
  <si>
    <t>Монтажная деталь МД-4 (вес 1,2кг)</t>
  </si>
  <si>
    <t>6-й этаж (отм. +13,900) ЛЛУ№1</t>
  </si>
  <si>
    <t>стена по оси "Д" ЛЛУ№1</t>
  </si>
  <si>
    <t>Газобетон марки D-600 (б=300мм)</t>
  </si>
  <si>
    <t>Вентиляционный канал ЛЛУ№1</t>
  </si>
  <si>
    <t>Уголок 75х5</t>
  </si>
  <si>
    <t>Профиль 40х40х3</t>
  </si>
  <si>
    <t>Профиль 40х20х3</t>
  </si>
  <si>
    <t>Распорный анкер</t>
  </si>
  <si>
    <t>Устройство крыши ЛЛУ№1</t>
  </si>
  <si>
    <t>Швеллер 10</t>
  </si>
  <si>
    <t>Профиль 50х50х4</t>
  </si>
  <si>
    <t>Зд-1</t>
  </si>
  <si>
    <t>ф10А500</t>
  </si>
  <si>
    <t>Вентиляционный канал ЛЛУ№2</t>
  </si>
  <si>
    <t>профиль 40х40х3</t>
  </si>
  <si>
    <t>профиль 25х25х3</t>
  </si>
  <si>
    <t>профиль 20х40х3</t>
  </si>
  <si>
    <t>Профнастил  в комплекте (7 шт)</t>
  </si>
  <si>
    <t>ЗАПОЛНЕНИЕ КАРКАСА</t>
  </si>
  <si>
    <t>ниже 0.000 (отм. -3.700)</t>
  </si>
  <si>
    <t>Камень-ракушечник М-35 
б=400мм и 200мм</t>
  </si>
  <si>
    <t>Бетон кл. В-20</t>
  </si>
  <si>
    <t>гориз. армирование:</t>
  </si>
  <si>
    <t>сетка С-1 (224 шт. по 0,51кг)</t>
  </si>
  <si>
    <t>сетка С-2 (56 шт. по 0,83кг)</t>
  </si>
  <si>
    <t>Деталь крепления (по 1 кг)</t>
  </si>
  <si>
    <t>Деталь крепления (по 1,53 кг)</t>
  </si>
  <si>
    <t>лист 150х400х2</t>
  </si>
  <si>
    <t>лист 150х600х2</t>
  </si>
  <si>
    <t>распорный анкер М10</t>
  </si>
  <si>
    <t>выше 0.000</t>
  </si>
  <si>
    <t>Заполнение Зп1-Зп6</t>
  </si>
  <si>
    <t>Бетон В7,5</t>
  </si>
  <si>
    <t>Бетон В10</t>
  </si>
  <si>
    <t>Газобетон D600 (б=200мм)</t>
  </si>
  <si>
    <t>Газобетон D600 (б=400мм)</t>
  </si>
  <si>
    <t>Крышка на парапет 0,6х30.0х100</t>
  </si>
  <si>
    <t>Ограждение металлическое</t>
  </si>
  <si>
    <t>анкер</t>
  </si>
  <si>
    <t>ф6А240</t>
  </si>
  <si>
    <t>Деталь крепления Дк-1 (вес 1 кг)</t>
  </si>
  <si>
    <t>Деталь крепления Дк-2 (вес 1,53 кг)</t>
  </si>
  <si>
    <t>Обрамление проемов Пм5-Пм10</t>
  </si>
  <si>
    <t>угол 50х4</t>
  </si>
  <si>
    <t>распорный анкер</t>
  </si>
  <si>
    <t>Перегородки толщиной 100мм и 200мм</t>
  </si>
  <si>
    <t>Газобетон D600 (б=100мм)</t>
  </si>
  <si>
    <t>ВЕНТКАНАЛЫ (ВК1-ВК3)</t>
  </si>
  <si>
    <t>Кирпич шамотный</t>
  </si>
  <si>
    <t>Бетон В20 (М250)</t>
  </si>
  <si>
    <t>Газобетон D600</t>
  </si>
  <si>
    <t>Щебень ср. фракции</t>
  </si>
  <si>
    <t>ф8 А500</t>
  </si>
  <si>
    <t>деталь крепления Дк-1 (вес 1 кг)</t>
  </si>
  <si>
    <t>метал. деталь Мд-1 (вес 1,85 кг)</t>
  </si>
  <si>
    <t>метал. деталь Мд-2 (вес 1,27 кг)</t>
  </si>
  <si>
    <t>закладная деталь Зд-1 (вес 1,72кг)</t>
  </si>
  <si>
    <t>деталь крепления Дк-2 (вес 1 кг)</t>
  </si>
  <si>
    <t>труба 40х40х3</t>
  </si>
  <si>
    <t>труба 20х40х3</t>
  </si>
  <si>
    <t>желоб водосточный</t>
  </si>
  <si>
    <t>м.п.</t>
  </si>
  <si>
    <t>труба водосточная</t>
  </si>
  <si>
    <t>воронки</t>
  </si>
  <si>
    <t>отводы</t>
  </si>
  <si>
    <t>колесоотбойные устройства</t>
  </si>
  <si>
    <t>Устройство щебеночного основания под фундаменты</t>
  </si>
  <si>
    <t>Устройство ж/б фундамента</t>
  </si>
  <si>
    <t>Изготовление и монтаж металлического каркаса</t>
  </si>
  <si>
    <t>Монтаж композитных панелей</t>
  </si>
  <si>
    <t>композитные панели в к-те</t>
  </si>
  <si>
    <t>Очистка и обезжиривание металлических поверхностей перед покраской и огрунтовкой</t>
  </si>
  <si>
    <t>Уайт-спирит</t>
  </si>
  <si>
    <t>Электроды</t>
  </si>
  <si>
    <t>Огрунтовка металлического каркаса</t>
  </si>
  <si>
    <t>Грунтовка ГФ-021</t>
  </si>
  <si>
    <t>Окраска металлического каркаса</t>
  </si>
  <si>
    <t>краска масляная ПФ-115</t>
  </si>
  <si>
    <t>поликарбонат в к-те с направляющими, планками</t>
  </si>
  <si>
    <t>Монтаж покрытия из поликарбоната</t>
  </si>
  <si>
    <t>Монтаж водосточной системы</t>
  </si>
  <si>
    <t>Монтаж колесоотбойного устройства</t>
  </si>
  <si>
    <t>отм.-3,700 подвальный этаж (ЛЛУ№1)</t>
  </si>
  <si>
    <t>отм. -4,100 подвальный этаж (ЛЛУ№2)</t>
  </si>
  <si>
    <t>Монтажная деталь МД-4 (по 1,2 кг)</t>
  </si>
  <si>
    <t>Окна,Двери, ворота</t>
  </si>
  <si>
    <t>НИЖЕ 0.000</t>
  </si>
  <si>
    <t>Монтаж автоматических секционных ворот</t>
  </si>
  <si>
    <t>ворота гаражные секционные</t>
  </si>
  <si>
    <t>закладные детали</t>
  </si>
  <si>
    <t>пена монтажная</t>
  </si>
  <si>
    <t xml:space="preserve">Монтаж двери  металлической противопожарной одностворчатой, 2-го типа огнестойкости </t>
  </si>
  <si>
    <t>дверь металлическая противопожарная</t>
  </si>
  <si>
    <t xml:space="preserve">Монтаж двери  металлической противопожарной одностворчатой, 1-го типа огнестойкости </t>
  </si>
  <si>
    <t>Монтаж двери  металлической одностворчатой, тепло, звуко-изоляционная</t>
  </si>
  <si>
    <t>дверь металлическая глухая</t>
  </si>
  <si>
    <t>Монтаж дверей металлических 1-но створчатых</t>
  </si>
  <si>
    <t>Монтаж дверей металлопластиковых-4шт.</t>
  </si>
  <si>
    <t>кв.м</t>
  </si>
  <si>
    <t>дверь металлопластиковая 2-х створчатая, самозакрывающаяся 2100х1200 (стеклопакет+профиль+пена монтажная)</t>
  </si>
  <si>
    <t>Монтаж дверей деревянных одностворчатых</t>
  </si>
  <si>
    <t>дверь деревянная глухая 2100х700</t>
  </si>
  <si>
    <t>дверь деревянная глухая 2100х1000</t>
  </si>
  <si>
    <t>ВЫШЕ 0.000</t>
  </si>
  <si>
    <t>Монтаж дверей металлических 2-х створчатых</t>
  </si>
  <si>
    <t>дверь металлическая противопожарная 2-х створчатая</t>
  </si>
  <si>
    <t>Монтаж дверей металлопластиковых-3шт.</t>
  </si>
  <si>
    <t>дверь металлопластиковая 1-но створчатая, самозакрывающаяся 2100х900(стеклопакет+профиль+пена монтажная)</t>
  </si>
  <si>
    <t>Монтаж дверей металлопластиковых-29шт.</t>
  </si>
  <si>
    <t>Монтаж окон  ОК-13 шт.</t>
  </si>
  <si>
    <t>МПИ профиль усиленный-(стеклопакет+профиль+пена монтажная)</t>
  </si>
  <si>
    <t>Многоуровневая стоянка автомобилей открытого типа, по ул. Железнодорожная в г. Симферополь</t>
  </si>
  <si>
    <t>Потолки</t>
  </si>
  <si>
    <t>Шпатлевка потолков</t>
  </si>
  <si>
    <t>штукатурка  МП-75</t>
  </si>
  <si>
    <t xml:space="preserve">грунтовка </t>
  </si>
  <si>
    <t>Акриловая окраска  потолков</t>
  </si>
  <si>
    <t>бумага шлифовальная</t>
  </si>
  <si>
    <t xml:space="preserve">краска акриловая </t>
  </si>
  <si>
    <t>Стены</t>
  </si>
  <si>
    <t xml:space="preserve">Улучшенная штукатурка стен  </t>
  </si>
  <si>
    <t>маяк штукатурный</t>
  </si>
  <si>
    <t>Шпатлевка стен  с окраской</t>
  </si>
  <si>
    <t>шпаклевка</t>
  </si>
  <si>
    <t>Штукатурка откосов (гараж. ворота+двери)</t>
  </si>
  <si>
    <t>м</t>
  </si>
  <si>
    <t>уголок перфорированный</t>
  </si>
  <si>
    <t>Шпатлевка откосов  с окраской</t>
  </si>
  <si>
    <t>Устройство покрытия из керамической плитки (с/узлы)</t>
  </si>
  <si>
    <t>Смесь клеющая для плитки</t>
  </si>
  <si>
    <t>затирка для швов</t>
  </si>
  <si>
    <t>керамическая плитка</t>
  </si>
  <si>
    <t xml:space="preserve">Полы </t>
  </si>
  <si>
    <t>Устройство покрытия из керамической плитки</t>
  </si>
  <si>
    <t>Устройство бетонного пола</t>
  </si>
  <si>
    <t>щебень, фракция 5-20-100мм</t>
  </si>
  <si>
    <t>бетон кл. В 7,5-100мм</t>
  </si>
  <si>
    <t>обмазочно-оклеечная гидроизоляция</t>
  </si>
  <si>
    <t>стяжка цем.-песч. с железнением 50 мм</t>
  </si>
  <si>
    <t>Устройство топинга (полы)</t>
  </si>
  <si>
    <t>шпатлевка</t>
  </si>
  <si>
    <t>Штукатурка откосов
(гараж. ворота+двери+окна)</t>
  </si>
  <si>
    <t>Отделка- отсек 1</t>
  </si>
  <si>
    <t>пароизоляционная пленка</t>
  </si>
  <si>
    <t>Водосток наружный</t>
  </si>
  <si>
    <t xml:space="preserve">воронки </t>
  </si>
  <si>
    <t>желоб</t>
  </si>
  <si>
    <t>трубы водосточные</t>
  </si>
  <si>
    <t>крышка на парапет 
КП-0.6х30.0х100 (камень)</t>
  </si>
  <si>
    <t>ц.-п. раствор М100-20мм</t>
  </si>
  <si>
    <t>защитный фартук из оцинкованной стали</t>
  </si>
  <si>
    <t>саморезы с резиновой прокладкой с шагом не более 600мм</t>
  </si>
  <si>
    <t>ИТОГО</t>
  </si>
  <si>
    <t xml:space="preserve">Многоуровневая стоянка автомобилей открытого типа, по ул. Железнодорожная в г. Симферополь. </t>
  </si>
  <si>
    <t>Водопровод и канализация</t>
  </si>
  <si>
    <t>Система К-1, К1Н, К-3, К-3Н</t>
  </si>
  <si>
    <t>Монтаж канализационного насоса с режущим механизмом, N=0,62 кВт</t>
  </si>
  <si>
    <t>компл.</t>
  </si>
  <si>
    <t>Насос Grundfos</t>
  </si>
  <si>
    <t>Монтаж насоса дренажного N=0,37кВт</t>
  </si>
  <si>
    <t xml:space="preserve">Насос WILO </t>
  </si>
  <si>
    <t>Монтаж погружного канализационного насоса N=2,4 кВт, U=400В</t>
  </si>
  <si>
    <t>Установка унитазов керамических с бачком с креплением к полу и косым выпуском</t>
  </si>
  <si>
    <t xml:space="preserve"> компл.</t>
  </si>
  <si>
    <t xml:space="preserve">унитаз керамический </t>
  </si>
  <si>
    <t>бачок смывной с верхним пуском типа БНК-ВП (цена учтена в унитазе)</t>
  </si>
  <si>
    <t xml:space="preserve">Установка умывальников керамических 
</t>
  </si>
  <si>
    <t>умывальник керамический c выпуском</t>
  </si>
  <si>
    <t>сифон бутылочный пластмассовый</t>
  </si>
  <si>
    <t>Прокладка труб стальных электросварных диаметром: 32мм</t>
  </si>
  <si>
    <t>труба стальная электросварная ф32х3,0</t>
  </si>
  <si>
    <t>Прокладка труб стальных электросварных диаметром: 48мм</t>
  </si>
  <si>
    <t>труба стальная электросварная ф48х3,5</t>
  </si>
  <si>
    <t>Прокладка труб стальных электросварных диаметром: 89мм</t>
  </si>
  <si>
    <t>труба стальная электросварная ф89х4,0 с антикорроз. покрытием внутри и снаружи</t>
  </si>
  <si>
    <t xml:space="preserve">
Установка кранов шаровых, обратных, воздушных клапанов
</t>
  </si>
  <si>
    <t>кран шаровый DN25</t>
  </si>
  <si>
    <t>кран шаровый DN40</t>
  </si>
  <si>
    <t>кран шаровый DN80</t>
  </si>
  <si>
    <t>обратный клапан DN25</t>
  </si>
  <si>
    <t>обратный клапан DN40</t>
  </si>
  <si>
    <t>обратный клапан фланцевый DN80</t>
  </si>
  <si>
    <t xml:space="preserve">воздушный клапан DN32 (HL Hutterer Lechner) </t>
  </si>
  <si>
    <t xml:space="preserve">Прокладка трубопроводов канализации из полипропиленовых труб: 50мм
</t>
  </si>
  <si>
    <t xml:space="preserve"> трубы диам. 50 мм (Ostendorf)</t>
  </si>
  <si>
    <t xml:space="preserve">
Прокладка трубопроводов канализации из полипропиленовых труб: 100мм
</t>
  </si>
  <si>
    <t xml:space="preserve"> трубы диам. 100 мм (Ostendorf)</t>
  </si>
  <si>
    <t xml:space="preserve">прочистка диам. 100мм (Ostendorf)
</t>
  </si>
  <si>
    <t xml:space="preserve">Прокладка трубопроводов канализации чугунных, диаметром: 100 мм
</t>
  </si>
  <si>
    <t xml:space="preserve"> трубы чугунные, диам. 100 мм</t>
  </si>
  <si>
    <t>ревизия диам. 100мм</t>
  </si>
  <si>
    <t>переход на чугунную трубу DN 110мм</t>
  </si>
  <si>
    <t>манжета для перехода на чугунную трубу 110/123</t>
  </si>
  <si>
    <t xml:space="preserve">прочистка диам. 100мм </t>
  </si>
  <si>
    <t xml:space="preserve">Прокладка трубопроводов канализации чугунных, диаметром: 150 мм
</t>
  </si>
  <si>
    <t xml:space="preserve"> трубы чугунные, диам. 150 мм</t>
  </si>
  <si>
    <t>ревизия диам. 150мм</t>
  </si>
  <si>
    <t>Установка чугунных водоотводных каналов с решеткой</t>
  </si>
  <si>
    <t>чугунный водоотводной канал с решеткой</t>
  </si>
  <si>
    <t>чугунный водоотводной канал с выпуском и решеткой</t>
  </si>
  <si>
    <t>пескоуловитель бетонный 500х230х500(h)</t>
  </si>
  <si>
    <t xml:space="preserve">лоток водоотводный бетонный серии DN150 (размер 100х210х100) </t>
  </si>
  <si>
    <t>решетка водоприемная чугунная высокопрочная</t>
  </si>
  <si>
    <t xml:space="preserve">торцевая заглушка DN150,H=100мм </t>
  </si>
  <si>
    <t>чугунная воронка с зажимным герметизирующем фланцем DN100, угол выпуска 90 град.</t>
  </si>
  <si>
    <t xml:space="preserve">торцевая заглушка DN100 </t>
  </si>
  <si>
    <t>упор под канализ. стояки из бетона марки В 12.5</t>
  </si>
  <si>
    <t xml:space="preserve">Устройство короба 250х250 из несгораемого гипсокартона в два слоя (Knauf) толщиной 24мм
</t>
  </si>
  <si>
    <t>м²</t>
  </si>
  <si>
    <t>гипсокартон</t>
  </si>
  <si>
    <t>лента упругая шир.35мм</t>
  </si>
  <si>
    <t>профиль UD</t>
  </si>
  <si>
    <t>профиль СD</t>
  </si>
  <si>
    <t>шуруп-саморез</t>
  </si>
  <si>
    <t>Шуруп-саморез</t>
  </si>
  <si>
    <t>дюбель-гвоздь 4,5/50</t>
  </si>
  <si>
    <t>Сантехнический ревизионный люк 250х250</t>
  </si>
  <si>
    <t>Устройство вентиляционного выхода на кровлю</t>
  </si>
  <si>
    <t>проходной элемент Xyona</t>
  </si>
  <si>
    <t>вентиляц. выход d=110мм, H=500мм на кровлю</t>
  </si>
  <si>
    <t xml:space="preserve">воздушный клапан DN110 (HL Hutterer Lechner) </t>
  </si>
  <si>
    <t>Гидравлическое испытание системы К1, К1Н, К3, К3Н</t>
  </si>
  <si>
    <t>система</t>
  </si>
  <si>
    <t>Система Т3</t>
  </si>
  <si>
    <t>Кран шаровый с рукояткой "бабочка" 
Valtec диам. 15мм</t>
  </si>
  <si>
    <t>Установка водоподогревателей электрических</t>
  </si>
  <si>
    <t xml:space="preserve">
Водоподогреватель Atlantic, 15л
</t>
  </si>
  <si>
    <t>Прокладка полипропиленовых труб армированных стекловолокном ф 20х2,8</t>
  </si>
  <si>
    <t>труба ф 20х2,8</t>
  </si>
  <si>
    <t xml:space="preserve">Трубки защитные гофрированные (пешель) ф 20х2,8
</t>
  </si>
  <si>
    <t>подводка гибкая для воды с нипелем из нерж.стали дл.=0,5м</t>
  </si>
  <si>
    <t>Система В1 (хоз. быт. водоснаб.)</t>
  </si>
  <si>
    <t>Смеситель для умывальника</t>
  </si>
  <si>
    <t>Кран поливочный диам. 20мм</t>
  </si>
  <si>
    <t>Рукав резинотканный- l=20м</t>
  </si>
  <si>
    <t>к-т</t>
  </si>
  <si>
    <t>Счетчики (водомеры) крыльчатые диаметром 20 мм</t>
  </si>
  <si>
    <t>соор.</t>
  </si>
  <si>
    <t xml:space="preserve">Фильтр сетчатый диам. 25мм
</t>
  </si>
  <si>
    <t xml:space="preserve">Обратный клапан диам. 25мм 
</t>
  </si>
  <si>
    <t>Гибкая вставка диам. 25мм</t>
  </si>
  <si>
    <t>Кран дренажный диам. 15мм</t>
  </si>
  <si>
    <t xml:space="preserve">Обратный клапан диам.15мм 
</t>
  </si>
  <si>
    <t>Прокладка труб полипропиленовых армированных стекловолокном наружным диаметром:20мм</t>
  </si>
  <si>
    <t>труба ф20х2,8</t>
  </si>
  <si>
    <t>Прокладка труб полипропиленовых армированных стекловолокном наружным диаметром:25мм</t>
  </si>
  <si>
    <t>труба ф25х3,5</t>
  </si>
  <si>
    <t>Прокладка труб полипропиленовых армированных стекловолокном наружным диаметром:32мм</t>
  </si>
  <si>
    <t>труба ф32х4,4</t>
  </si>
  <si>
    <t xml:space="preserve">Трубки защитные гофрированные (пешель) ф20х2,8
</t>
  </si>
  <si>
    <t xml:space="preserve">Трубки защитные гофрированные (пешель) ф25х3,5
</t>
  </si>
  <si>
    <t>Полиэтиленовая изоляция б=9мм, для труб ф 25мм, ф32мм</t>
  </si>
  <si>
    <t>Манометр 0-10 бар (Rosma)</t>
  </si>
  <si>
    <t>Кран трёхходовой для подключения монометра (O.R.)</t>
  </si>
  <si>
    <t>угловой шаровой кран 1/2х1/2 для подключения сантех. приборов</t>
  </si>
  <si>
    <t>кран шаровой с рукояткой "бабочка" DN15</t>
  </si>
  <si>
    <t>кран шаровой с рукояткой "бабочка" DN20</t>
  </si>
  <si>
    <t>кран шаровой со стальной рукояткой DN20</t>
  </si>
  <si>
    <t>кран шаровой со стальной рукояткой DN25</t>
  </si>
  <si>
    <t>Гидравлическое испытание системы В1</t>
  </si>
  <si>
    <t>Система В2 (противопожарное водоснаб.)</t>
  </si>
  <si>
    <t>Монтаж шкафа пожарного с 2 пож. вентилями ф65мм и с противопожарным оборудованием</t>
  </si>
  <si>
    <t>Соединительная головка ф=80мм</t>
  </si>
  <si>
    <t xml:space="preserve">Поворотная заслонка с электроприводом Danfoss </t>
  </si>
  <si>
    <t>Клапан обратный фланцевый ф=80мм Danfoss</t>
  </si>
  <si>
    <t>Огнетушитель порошковый ОП-8</t>
  </si>
  <si>
    <t xml:space="preserve"> Изоляция Rocwool б=20мм</t>
  </si>
  <si>
    <r>
      <t>Задвижка клиновая S-1240 диам. 100мм  Danfoss</t>
    </r>
    <r>
      <rPr>
        <i/>
        <sz val="12"/>
        <color theme="1"/>
        <rFont val="Calibri"/>
        <family val="2"/>
        <charset val="204"/>
        <scheme val="minor"/>
      </rPr>
      <t xml:space="preserve">
</t>
    </r>
  </si>
  <si>
    <r>
      <t>Задвижка клиновая укороченная S-1140 диам. 100мм  Danfoss</t>
    </r>
    <r>
      <rPr>
        <i/>
        <sz val="12"/>
        <color theme="1"/>
        <rFont val="Calibri"/>
        <family val="2"/>
        <charset val="204"/>
        <scheme val="minor"/>
      </rPr>
      <t xml:space="preserve">
</t>
    </r>
  </si>
  <si>
    <r>
      <t>Задвижка клиновая S-1240 диам. 80мм  Danfoss</t>
    </r>
    <r>
      <rPr>
        <i/>
        <sz val="12"/>
        <color theme="1"/>
        <rFont val="Calibri"/>
        <family val="2"/>
        <charset val="204"/>
        <scheme val="minor"/>
      </rPr>
      <t xml:space="preserve">
</t>
    </r>
  </si>
  <si>
    <t>гибкая вставка диам. 100мм Danfoss</t>
  </si>
  <si>
    <r>
      <t xml:space="preserve">Установка кранов </t>
    </r>
    <r>
      <rPr>
        <i/>
        <sz val="12"/>
        <color theme="1"/>
        <rFont val="Calibri"/>
        <family val="2"/>
        <charset val="204"/>
        <scheme val="minor"/>
      </rPr>
      <t xml:space="preserve">
</t>
    </r>
  </si>
  <si>
    <t>Кран спускной шаровый латунный BVR-C диам. 15мм Danfoss</t>
  </si>
  <si>
    <t xml:space="preserve">Насосная станция пожаротушения (производитель-ООО "Элита-Петербург") 
</t>
  </si>
  <si>
    <t>труба стальн. Ду 76х3,5 мм</t>
  </si>
  <si>
    <t>труба стальн. Ду89х3,5 мм</t>
  </si>
  <si>
    <t xml:space="preserve"> труба стальн. Ду 108х4 мм</t>
  </si>
  <si>
    <t>Гидравлическое испытание системы В2</t>
  </si>
  <si>
    <t>Отопление и вентиляция</t>
  </si>
  <si>
    <t>Вентиляция</t>
  </si>
  <si>
    <t>Установка вентилятора канального</t>
  </si>
  <si>
    <t>Вентилятор RFD-600-350-4VIM</t>
  </si>
  <si>
    <t>Вентилятор RFD-800-500-4VIM</t>
  </si>
  <si>
    <t>Вентилятор TUBE100XL</t>
  </si>
  <si>
    <t>Вентилятор TUBE125XL</t>
  </si>
  <si>
    <t>Вентилятор TUBE160XL</t>
  </si>
  <si>
    <t>Установка вентилятора осевого</t>
  </si>
  <si>
    <t>Вентилятор осевой BN-120</t>
  </si>
  <si>
    <t>Регулятор скорости VLT Micro Drive</t>
  </si>
  <si>
    <t>Гибкие вставки FKr-800-500</t>
  </si>
  <si>
    <t>Гибкие вставки FKr-600-350</t>
  </si>
  <si>
    <t>Клапан запорно-регулирующий с электроприводом DRr-800-500</t>
  </si>
  <si>
    <t>Клапан запорно-регулирующий с электроприводом DRr-600-350</t>
  </si>
  <si>
    <t>Фильтр секция G3 FBRr-S-800-500</t>
  </si>
  <si>
    <t>Шумоглушитель SRr-800-500</t>
  </si>
  <si>
    <t>Шумоглушитель SRr-600-350</t>
  </si>
  <si>
    <t>Щит управления</t>
  </si>
  <si>
    <t>Монтаж воздуховодов из оцинкованной стали б=0,8мм</t>
  </si>
  <si>
    <t>Воздуховоды из оцинкованной стали б=0,8мм</t>
  </si>
  <si>
    <t>Переход из оцинкованной стали б=0,8мм (800х500)х(600х300)</t>
  </si>
  <si>
    <t>Переход из оцинкованной стали б=0,8мм (600х300)х(500х300)</t>
  </si>
  <si>
    <t>Переход из оцинкованной стали б=0,8мм (500х300)х(500х250)</t>
  </si>
  <si>
    <t>Переход из оцинкованной стали б=0,8мм (500х250)х(300х250)</t>
  </si>
  <si>
    <t>Переход из оцинкованной стали б=0,8мм (400х250)х(300х250)</t>
  </si>
  <si>
    <t>Переход из оцинкованной стали б=0,8мм (600х350)х(400х250)</t>
  </si>
  <si>
    <t>Переход из оцинкованной стали б=0,8мм (600х350)х(500х250)</t>
  </si>
  <si>
    <t>Переход из оцинкованной стали б=0,8мм (500х250)х(400х250)</t>
  </si>
  <si>
    <t>Переход из оцинкованной стали б=0,8мм (400х250)х(300х200)</t>
  </si>
  <si>
    <t>Решетка вентиляционная РВ 350х250 (Ровен)</t>
  </si>
  <si>
    <t>Решетка вентиляционная РВ 200х200 (Ровен)</t>
  </si>
  <si>
    <t>Решетка вентиляционная РВ 250х300 (Ровен)</t>
  </si>
  <si>
    <t>Решетка вентиляционная РВ 250х200 (Ровен)</t>
  </si>
  <si>
    <t>Решетка вентиляционная РВ 200х150 (Ровен)</t>
  </si>
  <si>
    <t>Решетка вентиляционная РВ 150х150 (Ровен)</t>
  </si>
  <si>
    <t>Решетка вентиляционная наружная РН 900х900 (Ровен)</t>
  </si>
  <si>
    <t>Лючек для замера параметров (Ровен)</t>
  </si>
  <si>
    <t>Материал для крепления вентиляционного оборудования</t>
  </si>
  <si>
    <t>Заслонка запорно-регулирующая ручная воздушная АЗД-192-РП 250х150</t>
  </si>
  <si>
    <t xml:space="preserve">Огнезадерживающее покрытие E160 б=6мм Therm INNOVA </t>
  </si>
  <si>
    <t>Клапан противопожарный КПУ-1Н-О-Н-100   (EI-90)</t>
  </si>
  <si>
    <t>Клапан противопожарный КПУ-1Н-О-Н-125    (EI-90)</t>
  </si>
  <si>
    <t>Клапан противопожарный КПУ-1Н-О-Н-140 
(EI-90)</t>
  </si>
  <si>
    <t>Отопление паркинга</t>
  </si>
  <si>
    <t>Монтаж электрического конвектора                                    F-17(N=0,5кВт) Atlantic</t>
  </si>
  <si>
    <t>Монтаж электрического конвектора                                    F-17(N=0,75кВт) Atlantic</t>
  </si>
  <si>
    <t>Монтаж электрического конвектора                                    F-17(N=1,0кВт) Atlantic</t>
  </si>
  <si>
    <t>№ п/п</t>
  </si>
  <si>
    <t>Перечень работ</t>
  </si>
  <si>
    <t>Объём работ всего</t>
  </si>
  <si>
    <t>Материалы</t>
  </si>
  <si>
    <t>Монтаж панель вводная  ВРУ инд. изготовления (Спецщиткомплект)</t>
  </si>
  <si>
    <t>Монтаж панели распределительной РУ инд. изготовления</t>
  </si>
  <si>
    <t>выключатель автоматический Ip=6А (ВА 47-63/1/С)</t>
  </si>
  <si>
    <t>выключатель автоматический Ip=25А (ВА 47-63/1/С)</t>
  </si>
  <si>
    <t>выключатель автоматический Ip=63А (ВА 47-63/3/С)</t>
  </si>
  <si>
    <t>выключатель автоматический Ip=16А (ВА 47-63/3/С)</t>
  </si>
  <si>
    <t>выключатель автоматический Ip=10А (ВА 47-63/3/С)</t>
  </si>
  <si>
    <t>расцепитель независимый РН-47</t>
  </si>
  <si>
    <t>Дифференциальное реле Iн=16А(АД32-16)</t>
  </si>
  <si>
    <t>счетчик эл.энергии трехфазный-Энергомера</t>
  </si>
  <si>
    <t>Устройство автоматического переключения питания на резерв</t>
  </si>
  <si>
    <t>Кабель силовой с медными жилами с ПВХ изоляцией в оболочке из поливинилхлоридного пластика не распространяющего горение, сечением:</t>
  </si>
  <si>
    <t>3х1,5мм2 ВВГнг(А)-LS)</t>
  </si>
  <si>
    <t>3х2,5мм2 (ВВГнг(А)-LS)</t>
  </si>
  <si>
    <t>3х4мм2 (ВВГнг(А)-LS)</t>
  </si>
  <si>
    <t>5х2,5мм2 (ВВГнг(А)-LS)</t>
  </si>
  <si>
    <t>5х6мм2 (ВВГнг(А)-LS)</t>
  </si>
  <si>
    <t>Кабель силовой с медными жилами с ПВХ изоляцией в оболочке из ПВХ не распространяющего горение, сечением:</t>
  </si>
  <si>
    <t>5х25мм2 ВВГнг(А)-FRLS</t>
  </si>
  <si>
    <t>5х16мм2 ВВГнг(А)-FRLS</t>
  </si>
  <si>
    <t>5х2,5мм2 ВВГнг(А)-FRLS</t>
  </si>
  <si>
    <t>4х1,5мм2 ВВГнг(А)-FRLS</t>
  </si>
  <si>
    <t>Пруток ф8мм горячеоцинкованный</t>
  </si>
  <si>
    <t>выключатель автоматический Ip=20А (ВА 47-63/3/С)</t>
  </si>
  <si>
    <t>Контактор модульный КМ-1-16</t>
  </si>
  <si>
    <t>Фотореле серии PS</t>
  </si>
  <si>
    <t>выключатель автоматический Ip=25А (ВА 47-63/3/С)</t>
  </si>
  <si>
    <t>выключатель автоматический Ip=160А (ВА99ML 250/160 3P)</t>
  </si>
  <si>
    <t>Монтаж щита распределительного навесного  ЩРн-24 с шинами IP31</t>
  </si>
  <si>
    <t>Монтаж ящика вводно-учетного типа НКУ ВУ М2 (Спецщиткомплект)</t>
  </si>
  <si>
    <t>Монтаж трансформатора тока ТТЕ-А 200/5А</t>
  </si>
  <si>
    <t>1. Низковольтное оборудование</t>
  </si>
  <si>
    <t>Монтаж светильника светодиодного IP65  IP20</t>
  </si>
  <si>
    <t>Монтаж аварийно-эвакуационного светильника</t>
  </si>
  <si>
    <t>Блок аварийного питания 4W, номин.время работы 3ч</t>
  </si>
  <si>
    <t>Монтаж датчика движения (радиус  обзора 3м)</t>
  </si>
  <si>
    <t>5х4мм2 ВВГнг(А)-FRLS</t>
  </si>
  <si>
    <t>5х4мм2 (ВВГнг(А)-LS)</t>
  </si>
  <si>
    <t>5х10мм2 (ВВГнг(А)-LS)</t>
  </si>
  <si>
    <t>Монтаж АВР-200-160 "Спецщиткомплект"</t>
  </si>
  <si>
    <t>3. Кабельно-проводниковые изделия</t>
  </si>
  <si>
    <t>2. Светотехническое оборудование</t>
  </si>
  <si>
    <t>4. Электроустановочные изделия</t>
  </si>
  <si>
    <t>Монтаж выключателя открытой установки одноклавишного 10А IP44</t>
  </si>
  <si>
    <t>Монтаж выключателя двухклавишного 10А IP44</t>
  </si>
  <si>
    <t>Монтаж розетки штепсельной одноместной с защитными шторками 16А IP44</t>
  </si>
  <si>
    <t>Розетка штепсельная одноместной с защитными шторками 16А IP20</t>
  </si>
  <si>
    <t>5. Электромонтажные устройства и  изделия</t>
  </si>
  <si>
    <t>Монтаж трубы гофрированной  из ПВХ  с протяжкой ф32мм</t>
  </si>
  <si>
    <t>Монтаж трубы гофрированной  из ПВХ  с протяжкой ф40мм</t>
  </si>
  <si>
    <t>Монтаж трубы гофрированной  из ПВХ  с протяжкой ф25мм</t>
  </si>
  <si>
    <t>Монтаж трубы гофрированной  из ПВХ  с протяжкой ф20мм</t>
  </si>
  <si>
    <t>Монтаж лотка проволочного 35*100</t>
  </si>
  <si>
    <t>Крышка на лоток осн.100</t>
  </si>
  <si>
    <t>Соединительный комплект двойной MDS20</t>
  </si>
  <si>
    <t>Пластина заземления GP</t>
  </si>
  <si>
    <t>Площадка фиксаторная СR</t>
  </si>
  <si>
    <t>Держатель потолочный DR</t>
  </si>
  <si>
    <t>Болт анкерный с гайкой M8*65</t>
  </si>
  <si>
    <t>Шпилька М8</t>
  </si>
  <si>
    <t>Гайка со стопорным буртиком М8</t>
  </si>
  <si>
    <t>Монтаж лотка проволочного 85*100</t>
  </si>
  <si>
    <t>6.Заземление и молниезащита.</t>
  </si>
  <si>
    <t xml:space="preserve">Универсальный держатель </t>
  </si>
  <si>
    <t xml:space="preserve">Универсальный соединитель </t>
  </si>
  <si>
    <t>Стержневой молниеотвод с держателем h=3000 мм</t>
  </si>
  <si>
    <t>Стержневой молниеотвод с держателем h=2000 мм</t>
  </si>
  <si>
    <t>Электрооборудование и электроосвещение . Отсек №1</t>
  </si>
  <si>
    <t>Автоматическая система пожаротушения. Отсек №1</t>
  </si>
  <si>
    <t>Комплект оборудования автоматической системы пожаротушения</t>
  </si>
  <si>
    <t>Монтаж блока сигнально-пускового адресного (С2000-СП4/220, НВП "Болид")</t>
  </si>
  <si>
    <t>Монтаж контроллера двухпроводного линий связи ("С2000-КДЛ НВП "Болид")</t>
  </si>
  <si>
    <t>Монтаж блока контрольно-пускового ("С2000-КПБ НВП"Болид")</t>
  </si>
  <si>
    <t>Монтаж блока монтажного (БМ-40ГУ , "Промщитконтакт")</t>
  </si>
  <si>
    <t>Монтаж модуля пожаротушения тонкораспыленной водой (МУПТВ-13,5-Г3-ВД-01-01, "Источник плюс")</t>
  </si>
  <si>
    <t>Монтаж блока разветвительно-изолирующего (БРИЗ, НВП "Болид")</t>
  </si>
  <si>
    <t>Монтаж дистанционного управления электроконтактного (ЭДУ 513-3М исп.01, НВП "Болид")</t>
  </si>
  <si>
    <t>Монтаж устойства дистанционного пуска адресного "ПУСК ПОЖАРОТУШЕНИЯ" (УДП 513-3АМ, НВП "Болид")</t>
  </si>
  <si>
    <t>Монтаж прибора приемно-контактного охранно-пожарного (Сигнал-10, НВП "Болид")</t>
  </si>
  <si>
    <t>Монтаж оповещателя охранно-пожарного светового (табло) (Молния-24 "Автоматика отключена", Арсенал безопасности)</t>
  </si>
  <si>
    <t>Монтаж модуля подключения нагрузки (МПН, НВП "Болид")</t>
  </si>
  <si>
    <t>Монтаж источника резервного питания (РИП-24 исп.56, НВП "Болид")</t>
  </si>
  <si>
    <t>Монтаж аккумулятора (DTM1226, 26 А/ч, Delta)</t>
  </si>
  <si>
    <t>Монтаж шкафа контрольно-пускового (ШКП-45, НВП "Болид")</t>
  </si>
  <si>
    <t>Монтаж шкафа контрольно-пускового (ШКП-10, НВП "Болид")</t>
  </si>
  <si>
    <t>Монтаж шкафа контрольно-пускового (ШКП-4, НВП "Болид")</t>
  </si>
  <si>
    <t>Монтаж проводов, кабелей</t>
  </si>
  <si>
    <t>Провод ПуГВ  4</t>
  </si>
  <si>
    <t>Кабель КПСнг(А)-FRLS 1х2х2,5</t>
  </si>
  <si>
    <t>Кабель КПСнг(А)-FRLS 1х2х0,75</t>
  </si>
  <si>
    <t>Кабель КПСнг(А)-FRLS 1х2х0,5</t>
  </si>
  <si>
    <t>Кабель КПСнг(А)-FRLS 2х2х0,5</t>
  </si>
  <si>
    <t>Кабель ВВгнг(А)-FRLS 3х1,5</t>
  </si>
  <si>
    <t>Кабель ВВгнг(А)-FRLS 3х2,5</t>
  </si>
  <si>
    <t>Кабель ВВгнг(А)-FRLS 3х4,0</t>
  </si>
  <si>
    <t>Кабель ВВгнг(А)-FRLS 3х10</t>
  </si>
  <si>
    <t>Прокладка труб гофрированных (20мм, "ДКС")</t>
  </si>
  <si>
    <t>Монтаж коробки монтажной огнестойкой (МЕТА 7403-2)</t>
  </si>
  <si>
    <t>Автоматическая система управления движением. Отсек №1</t>
  </si>
  <si>
    <t>Оборудование</t>
  </si>
  <si>
    <t>Монтаж бокса монтажного с замком RVBL 400*600*100мм</t>
  </si>
  <si>
    <t>Монтаж сетевого контроллера доступа (ЭРА-2000 v2)</t>
  </si>
  <si>
    <t>Монтаж системы считывания "Smart-Gate UHF LITE NET" С АНТЕННАМИ UNF-FRID</t>
  </si>
  <si>
    <t>Монтаж 2-хканального контроллера петлевых антенн (DoorHan LOOP-2)</t>
  </si>
  <si>
    <t>Монтаж петлевых антенн VAP-0088-00</t>
  </si>
  <si>
    <t>Монтаж шлагбаума FAAC 620SRD</t>
  </si>
  <si>
    <t>Монтаж стрелы прямоугольной 25*90 (с демпфером и наклейками длиной 3815, FAAC)</t>
  </si>
  <si>
    <t>Комплект шарнира FAAC</t>
  </si>
  <si>
    <t xml:space="preserve">Монтаж ИК датчика безопасности </t>
  </si>
  <si>
    <t>Монтаж светофора двухсекционного светодиодного т.8 100мм "Премиум" (серого)</t>
  </si>
  <si>
    <t>Монтаж блока питания DC 12В/10А (EVW-AS1210R)</t>
  </si>
  <si>
    <t>Монтаж дорожного контроллера ДК2</t>
  </si>
  <si>
    <t>Монтаж дорожного контроллера ДКМ</t>
  </si>
  <si>
    <t xml:space="preserve">Монтаж светофора двухсекционного светодиодного т.8.1 200мм </t>
  </si>
  <si>
    <t>Монтаж зеркала сферического круглого, 600 мм</t>
  </si>
  <si>
    <t>Монтаж дорожной неровности "Лежачий полицейский" 3000*500мм</t>
  </si>
  <si>
    <t>комплект</t>
  </si>
  <si>
    <t>Кабели, провода и разъемы</t>
  </si>
  <si>
    <t>Прокладка кабеля</t>
  </si>
  <si>
    <t>Кабель витая пара UTP 5e</t>
  </si>
  <si>
    <t>Материалы:</t>
  </si>
  <si>
    <t>Прокладка кабель-канала 100х40 (2м/шт)</t>
  </si>
  <si>
    <t>Хомуты кабельные 3,5х250мм цвет черный, 100 шт.</t>
  </si>
  <si>
    <t>уп.</t>
  </si>
  <si>
    <t>ПВХ-изолента 19ммх20м черная</t>
  </si>
  <si>
    <t>Кабель КВВГ 3*1,5</t>
  </si>
  <si>
    <t>ПДВ-1</t>
  </si>
  <si>
    <t>Монтаж вентилятора дымоудаления радиального  (L=45 000 м3/час H=1520, N=30 кВт  шестиполюсн., исп.1)</t>
  </si>
  <si>
    <t>Сетка защитная на выходе (сетка-780х1420-30-Н)</t>
  </si>
  <si>
    <t>Монтаж обратного клапана д=1120 (Клара-крос-1120-н)</t>
  </si>
  <si>
    <t>Монтаж воздуховодов из оцинкованной стали б-0,7мм</t>
  </si>
  <si>
    <t>Монтаж отводов</t>
  </si>
  <si>
    <t>Отвод из оц стали б=0,7мм 1200*500 вертик.</t>
  </si>
  <si>
    <t>Отвод из оц стали б=0,7мм 1200*500 горизонт.</t>
  </si>
  <si>
    <t>Отвод из оц стали б=0,7мм 800*400 горизонт.</t>
  </si>
  <si>
    <t>Устройство огнезащитного покрытия EI 150</t>
  </si>
  <si>
    <t>Монтаж клапана воздушного (Реглан 510-1200-н-ручка)</t>
  </si>
  <si>
    <t>ПДВ-2</t>
  </si>
  <si>
    <t>Монтаж вентилятора радиального приточного (L=30 000 м3/ч Н=550па, ВРАН6-1000-Т80-К1-00750/8-У2-1-П90-0)</t>
  </si>
  <si>
    <t>Монтаж решетки вентиляционной (Р100-1500х1620)</t>
  </si>
  <si>
    <t>Монтаж клапана обратного d=1000 (Клара-крос-1000-Н)</t>
  </si>
  <si>
    <t>Сетка защитная на входе (СЕБ-ОСА-0 80-Н)</t>
  </si>
  <si>
    <t>ПДВ-3</t>
  </si>
  <si>
    <t>Монтаж вентилятора осевого  (30 000 м3/час H=380 Па, ОСА 301-080/Л-55-Н-00550/4-У2-01)</t>
  </si>
  <si>
    <t>Монтажная опора  МОП-ОСА-80-С</t>
  </si>
  <si>
    <t>Монтаж переходника плоского (ПЕП-ОСА-080-С)</t>
  </si>
  <si>
    <t>Монтаж коллектора входного ВКО ОСА-080-С</t>
  </si>
  <si>
    <t>Сетка защитная на выходе (СЕБ-ОСА-0 80-Н)</t>
  </si>
  <si>
    <t>Монтаж решетки воздухозаборной накладной ал.наружной (1200х1500(н) F=0,74 Мкв РОВЕН)</t>
  </si>
  <si>
    <t>ПДВ-4, ПДВ-5, ПДВ-6</t>
  </si>
  <si>
    <t>Монтаж вентилятора канального  (7 100 м3/час H=160 Па, ПКВ 90-50-6-380)</t>
  </si>
  <si>
    <t>Монтаж решетки вентиляционной (РВ1-400х600)</t>
  </si>
  <si>
    <t>Монтаж клапана обратного 600х400Н (КИД 600х400)</t>
  </si>
  <si>
    <t>Сетка защитная на входе (600х400Н)</t>
  </si>
  <si>
    <t>Отвод из оц стали б=0,7мм 600*400 вертик.</t>
  </si>
  <si>
    <t>Металл для крепления воздуховодов</t>
  </si>
  <si>
    <t>Система пожарной сигнализации, система оповещенияи и управления эвакуацией, автоматизация инженерных систем при пожаре</t>
  </si>
  <si>
    <t>Монтаж прибора управления и  приемно-контрольного пожарного (Сириус, НВП "Болид")</t>
  </si>
  <si>
    <t>Монтаж блока индикации (С2000-БКИ, НВП "Болид")</t>
  </si>
  <si>
    <t>Монтаж шкафа пожарной сигнализации (ШПС-24RS НВП "БОЛИД")</t>
  </si>
  <si>
    <t xml:space="preserve">Монтаж шкафа контрольно-пускового  </t>
  </si>
  <si>
    <t>Шкаф ШКП-4RS (М) НВП "БОЛИД"</t>
  </si>
  <si>
    <t>Шкаф ШКП-10RS (М) НВП "БОЛИД"</t>
  </si>
  <si>
    <t>Шкаф ШКП-45RS (М) НВП "БОЛИД"</t>
  </si>
  <si>
    <t>Монтаж контроллера двухпроводной линий связи (С2000-КДЛ-2И НВП "Болид")</t>
  </si>
  <si>
    <t>Монтаж блока контрольно-пускового (С2000-КПБ, НВП "Болид")</t>
  </si>
  <si>
    <t>Извещатель пожарный, ручной, адресный (ИПР 513-3АМ исп.01, НВП "Болид")</t>
  </si>
  <si>
    <t>Монтаж извещателей</t>
  </si>
  <si>
    <t>Извещатель пожарный, дымовой оптико-электронный адресный (ДИП 34А-04, НВП "Болид")</t>
  </si>
  <si>
    <t>Монтаж элемента дистанционного пуска  (УДП 513-3АМ, НВП "Болид")</t>
  </si>
  <si>
    <t>Монтаж блока разветвительно-изолирующего  (БРИЗ исп.03, НВП "Болид")</t>
  </si>
  <si>
    <t>Монтаж оповещателей</t>
  </si>
  <si>
    <t>Оповещатель пожарный звуковой адресный ( С2000-ОПЗ, НВП "Болид"</t>
  </si>
  <si>
    <t>Источник вторичного питания резерв. (РИП-24-4-/40М3-Р-RS)</t>
  </si>
  <si>
    <t>Аккумуляторная батарея, 17 Ач (DTM1217 "Delta")</t>
  </si>
  <si>
    <t>Кабель КПСнг(А)-FRHF 1х2х0,5</t>
  </si>
  <si>
    <t>Кабель КПСнг(А)-FRHF 2х2х0,75</t>
  </si>
  <si>
    <t>Кабель КПСнг(А)-FRHF 1х2х1,5</t>
  </si>
  <si>
    <t>Кабель ВВГнг(А)-FRHF 3х1,5</t>
  </si>
  <si>
    <t>Прокладка кабельных каналов</t>
  </si>
  <si>
    <t>Кабельный канал ПВХ белый 25х16</t>
  </si>
  <si>
    <t>Кабельный канал ПВХ белый 40х25</t>
  </si>
  <si>
    <t>Хомут FR ПР-40</t>
  </si>
  <si>
    <t>Дюбель металлический универсальный 5х30</t>
  </si>
  <si>
    <t>Саморез с прессшайбой ST4.2х25</t>
  </si>
  <si>
    <t>Прокладка огнестойкой кабельной линии</t>
  </si>
  <si>
    <t>Прокладка трубы гофрированной (с зондом, ТГЕ С3/ТГ FRHF 50мм)</t>
  </si>
  <si>
    <t>Скоба металлическая двухлапковая 861-005</t>
  </si>
  <si>
    <t>Саморез 3,5х35мм</t>
  </si>
  <si>
    <t>Монтаж коробок монтажных, ответвительных</t>
  </si>
  <si>
    <t>Коробка огнестойкая монтажная КМОМ 75х75х37</t>
  </si>
  <si>
    <t>Коробка ответвительная100х100х50</t>
  </si>
  <si>
    <t>Слаботочные сети</t>
  </si>
  <si>
    <t>Оборудование для интернет и телефонизации</t>
  </si>
  <si>
    <t>Монтаж шкафа телекоммуникационного напольного ЭКОНОМ 30U (600х600) ШТК-Э-30.6.6-13АА</t>
  </si>
  <si>
    <t>Монтаж модуля вентиляторного 19" 1U, 6 вентиляторов, с контроллером R-FAN-6K-1U</t>
  </si>
  <si>
    <t>Монтаж блока розеток REM-16 c выкл., 8 Schuko, 16А, алюмю, 19" (R-16-8S-V-440-1,8)</t>
  </si>
  <si>
    <t>Монтаж кросса оптического стоечного (19"), 1U, 8 портов, SM, LS КРС-8-LS</t>
  </si>
  <si>
    <t>Патч-корд оптический LC-LC/UPC SM (9/125мкм)duplex (3,0мм) 1м</t>
  </si>
  <si>
    <t>Монтаж полки перфорированной (глубина 580мм, СВ-58У)</t>
  </si>
  <si>
    <t>Комплект уголков опорных для настенных шкафов,  глубина 580мм УО-58.2</t>
  </si>
  <si>
    <t>Органайзер кабельный горизонтальный 19" 1U 6 колец ГКО-1-6</t>
  </si>
  <si>
    <t>Монтаж коммутатора управляемого L2 c 24порт. 10/100/1000Вase-T и 4 порт. 1000Base-X SFP DGS-1210-28P</t>
  </si>
  <si>
    <t>Монтаж коммутатора управляемого L2 c 8порт. 10/100/1000Вase-T и 4 порт. 1000Base-X SFP DGS-1210-28P</t>
  </si>
  <si>
    <t>Монтаж патч-панели cat.5e экранированной 19" на 24 портов</t>
  </si>
  <si>
    <t>Источник бесперебойного питания SKAT UPS-3000 RACK</t>
  </si>
  <si>
    <t>Аккумулятор Delta DTM 12100 L</t>
  </si>
  <si>
    <t>Ввод кабельный универсальный ВКУ-1</t>
  </si>
  <si>
    <t>Монтаж шины заземления 19" ШЗ-19, 130411-00654</t>
  </si>
  <si>
    <t>Прокладка труб ПВХ</t>
  </si>
  <si>
    <t>Труба жесткая ПВХ 3-х метровая диаметром 50</t>
  </si>
  <si>
    <t>Прокладка кабеля (UTP Cat 5e 4Х2Х0,51)</t>
  </si>
  <si>
    <t>Труба ПВХ гибкая гофр д.16мм, легкая с протяжкой</t>
  </si>
  <si>
    <t>Прокладка провода заземления ПуГВ 1х0,75</t>
  </si>
  <si>
    <t>Патч-корд UTP серого цвета</t>
  </si>
  <si>
    <t>Разъем RJ под витую пару (100шт./уп.)</t>
  </si>
  <si>
    <t>уп</t>
  </si>
  <si>
    <t xml:space="preserve">Огнестойкая пена Pyrosit@ NG FBS-S </t>
  </si>
  <si>
    <t>Труба стальная d=25мм</t>
  </si>
  <si>
    <t>Точка доступа D-Link DWL-2600AP</t>
  </si>
  <si>
    <t>-телефон   D-Link DpH-120S</t>
  </si>
  <si>
    <t>Монтаж интернет-розетки RJ45</t>
  </si>
  <si>
    <t>Пост видеонаблюдения</t>
  </si>
  <si>
    <t>Монтаж компьютера оператора  ПК DEXP Atlas H286</t>
  </si>
  <si>
    <t>Монтаж монитора 21,5"</t>
  </si>
  <si>
    <t>Клавиатура+мышь</t>
  </si>
  <si>
    <t>Монтаж ИБП APC Back-UPS 700VA(BX700UI)</t>
  </si>
  <si>
    <t>Кабель питания монитора Female-Male, 1,8м IEC 320 C14-IEC 320 C13</t>
  </si>
  <si>
    <t>Диспетчеризация лифтов</t>
  </si>
  <si>
    <r>
      <t xml:space="preserve">Монтаж лифтового блока </t>
    </r>
    <r>
      <rPr>
        <i/>
        <sz val="11"/>
        <color theme="1"/>
        <rFont val="Calibri"/>
        <family val="2"/>
        <charset val="204"/>
        <scheme val="minor"/>
      </rPr>
      <t>( в к-те:устройство переговорное вер.7,2-1шт., монтажный комплект-1шт., микрофонный усилитель - 1шт., сервисный ключ механика - 1шт., сервисный ключ оператора-1шт., сервисный ключ администратора - 1шт., ПО для диспетчерского комплекса "Обь"-1шт., дюбеля для крепления- 6 шт., модуль управления пускателем ЛБ7.2-1 шт., комплект жгутов - 1шт., переговорное устойство ПУЭП-Н-1 шт., переговорное устройство АПУ-1Н - 2 шт., электромагнитный 3-х фазный пускатель IEK - 1шт.)</t>
    </r>
  </si>
  <si>
    <t>Прокладка кабелей, проводов</t>
  </si>
  <si>
    <t>Кабель U/UTP Cat5e PVCLS нг(А)-LSLTх4х2х0,52</t>
  </si>
  <si>
    <t>Провод заземления желто-зеленый сечением 1х0,75</t>
  </si>
  <si>
    <t>Прокладка труб гофрированных D=16</t>
  </si>
  <si>
    <t>Прокладка труб стальных D=25</t>
  </si>
  <si>
    <t>Огнестойкая монтажная пена ОГНЕЗА EI240</t>
  </si>
  <si>
    <t>Оборудование для СОТ</t>
  </si>
  <si>
    <t>Монтаж IP-видеорегистратора (NVR) 16-тиканального TRASSIR</t>
  </si>
  <si>
    <t>Монтаж жесткого диска Seagate Enterprice Capacity 6 ТБ</t>
  </si>
  <si>
    <t>Монтаж камер видеонаблюдения</t>
  </si>
  <si>
    <t>Уличная/внутренняя IP-камера видеонаблюдения DS-2CD6365GO-IVS (1,27 мм)</t>
  </si>
  <si>
    <t>Уличная/внутренняя IP-камера видеонаблюдения DS-2CD2027G1-L (2,8 мм)</t>
  </si>
  <si>
    <r>
      <t xml:space="preserve">Монтаж коробок распределительных </t>
    </r>
    <r>
      <rPr>
        <i/>
        <sz val="11"/>
        <color theme="1"/>
        <rFont val="Calibri"/>
        <family val="2"/>
        <charset val="204"/>
        <scheme val="minor"/>
      </rPr>
      <t>(безгалогенных (HF) 100х100х50)</t>
    </r>
  </si>
  <si>
    <t xml:space="preserve">Кабель "Витая пара" U/UTP Cat5e PVCLS нг(А)-LSLTx 4х2х0,52 </t>
  </si>
  <si>
    <t>Кабель ВВГнг(А)-LSLTх3х2,5</t>
  </si>
  <si>
    <t>Прокладка труб гофрированных D=16 гибких</t>
  </si>
  <si>
    <t>Металл разный (саморезы, дюбеля и т.п.)</t>
  </si>
  <si>
    <t>Оборудование для радиофикации</t>
  </si>
  <si>
    <t>Монтаж конвертера IP/СПВ, 3 программы, 1 программа 30 Вольт</t>
  </si>
  <si>
    <t>Монтаж радиорозетки открытой установки РПВ-2</t>
  </si>
  <si>
    <t>Монтаж провода телефонного сечением 2х0,9мм2 ПРППМ-нгLS</t>
  </si>
  <si>
    <t>Кол.
на ед./
всего</t>
  </si>
  <si>
    <t>Раздел 1. Внутриплощадочные сети водоснабжения (В1)</t>
  </si>
  <si>
    <t>Земляные работы</t>
  </si>
  <si>
    <t>Разработка грунта в отвал экскаваторами "драглайн" или "обратная лопата" с ковшом вместимостью: 1 (1-1,2) м3, группа грунтов 2</t>
  </si>
  <si>
    <t>Песок</t>
  </si>
  <si>
    <t>т</t>
  </si>
  <si>
    <t>Трубопроводы</t>
  </si>
  <si>
    <t>Установка полиэтиленовых фасонных частей: отводов, колен, патрубков, переходов</t>
  </si>
  <si>
    <t>Колодцы водопроводные</t>
  </si>
  <si>
    <t>Люки чугунные: тяжелые</t>
  </si>
  <si>
    <t>Плита днища ПН20</t>
  </si>
  <si>
    <t>Труба стальная электросварная прямошовная диам. 325х5,5мм</t>
  </si>
  <si>
    <t>Наружные сети водопровода и канализации</t>
  </si>
  <si>
    <t>Устройство основания под трубопроводы и колодцы песчаного + 0бсыпка трубопровода защитным слоем песка</t>
  </si>
  <si>
    <t>Установка задвижек  диаметром: 100 мм</t>
  </si>
  <si>
    <t>Задвижка клиновая, DN100 HEISSKRAFT GVR-F</t>
  </si>
  <si>
    <t>Укладка трубопроводов из полиэтиленовых труб диаметром: 110 мм</t>
  </si>
  <si>
    <t>Труба напорная из полиэтилена ПЭ 110х6,6 SDR17</t>
  </si>
  <si>
    <t>Укладка трубопроводов из полиэтиленовых труб диаметром: 32 мм</t>
  </si>
  <si>
    <t>Труба напорная из полиэтилена ПЭ 100 SDR17; диам. 32х2,0мм</t>
  </si>
  <si>
    <t>Тройник равнопроходной, Dn110, ПЭ100 SDR17</t>
  </si>
  <si>
    <t>Компрессионный седловой отвод Ф 110х1"</t>
  </si>
  <si>
    <t>Фланцы металлические с полимерным покрытием Dn110, PN16</t>
  </si>
  <si>
    <t>Втулка под фланец удлиненная d-110мм, SDR11 PN16</t>
  </si>
  <si>
    <t>Установка муфт диаметром 110мм</t>
  </si>
  <si>
    <t>Муфта электросварная для труб ПЭ100, SDR 17, Dn110</t>
  </si>
  <si>
    <t>Установка кранов шаровых</t>
  </si>
  <si>
    <t>Кран шаровый Ф25мм Valtec</t>
  </si>
  <si>
    <t>Укладка стальных водопроводных труб с гидравлическим испытанием диаметром 244, 325 мм</t>
  </si>
  <si>
    <t>Труба стальная электросварная прямошовная диам. 244,5х4,0мм</t>
  </si>
  <si>
    <t>Укладка трубопроводов из полиэтиленовых труб диаметром: 400 мм, 280мм (футляры)</t>
  </si>
  <si>
    <t>Труба напорная из полиэтилена ПЭ 100 SDR17; диам. 400х29,4мм</t>
  </si>
  <si>
    <t>Труба напорная из полиэтилена ПЭ 100 SDR17; диам. 280х20,6мм</t>
  </si>
  <si>
    <t xml:space="preserve">Устройство круглых колодцев из сборного железобетона в грунтах: сухих диам. 2,0м </t>
  </si>
  <si>
    <t>Плита перекрытия 1ПП20-1-1</t>
  </si>
  <si>
    <t>Кольцо КС20-6-1</t>
  </si>
  <si>
    <t>Кольцо КС20-9а-1</t>
  </si>
  <si>
    <t xml:space="preserve">Врезка в существующие сети из стальных труб стальных штуцеров (патрубков) </t>
  </si>
  <si>
    <t>Раздел 2. Внутриплощадочные сети бытовой канализации (К1)</t>
  </si>
  <si>
    <t>Доработка грунта вручную</t>
  </si>
  <si>
    <t>Обратная засыпка грунтом</t>
  </si>
  <si>
    <t>Укладка трубопроводов из полиэтиленовых труб диаметром: 160 мм</t>
  </si>
  <si>
    <t xml:space="preserve">Труба канализационная из твердого поливинилхлорида KG (PVC) SN4 фирмы Oftendorf, Ф160 </t>
  </si>
  <si>
    <t>Соединительные элементы для ж/б колодцев</t>
  </si>
  <si>
    <t xml:space="preserve">Устройство круглых колодцев из сборного железобетона в грунтах: сухих диам. 1,0м </t>
  </si>
  <si>
    <t>Стремянка</t>
  </si>
  <si>
    <t>Плита днища ПН10</t>
  </si>
  <si>
    <t>Плита перекрытия 1ПП10-1</t>
  </si>
  <si>
    <t>Кольцо КС10-6</t>
  </si>
  <si>
    <t>Горловина КЦО-1</t>
  </si>
  <si>
    <t>Плита покрытия КЦО-1</t>
  </si>
  <si>
    <t>Кирпичная кладка колодцев (2 ряда)</t>
  </si>
  <si>
    <t>Кирпич</t>
  </si>
  <si>
    <t>Раствор цементный</t>
  </si>
  <si>
    <t>Обратная засыпка грунтом с уплотнением</t>
  </si>
  <si>
    <t>Оповещатель пожарный световой адресный ("ВЫХОД" С2000-ОСТ исп.01, НВП "Болид")</t>
  </si>
  <si>
    <t>Благоустройство (покрытия).</t>
  </si>
  <si>
    <t>Устройство бортового камня БР 100.30.15</t>
  </si>
  <si>
    <t>Бортовой камень БР 100.30.15</t>
  </si>
  <si>
    <t>Бетон тяжелый, класс: В15 (М200)</t>
  </si>
  <si>
    <t>Устройство бортового камня БР 100.20.8</t>
  </si>
  <si>
    <t>Бортовой камень парковый БР 100.20.8</t>
  </si>
  <si>
    <t>Асфальтобетонное покрытие (мелкозернистый а/б толщ.4см)</t>
  </si>
  <si>
    <t>Щебень М800  б=15см</t>
  </si>
  <si>
    <t>Песок б=20см</t>
  </si>
  <si>
    <t>Геотекстиль плотностью 300-350г/м2</t>
  </si>
  <si>
    <t>Щебень М800  б=10см</t>
  </si>
  <si>
    <t>Песок б=10см</t>
  </si>
  <si>
    <t>Бетонные тротуарные плиты В30 F200 толщ.6см</t>
  </si>
  <si>
    <t>Цементно-песчаная смесь М300 б=3см</t>
  </si>
  <si>
    <t>Песок б=5см</t>
  </si>
  <si>
    <t>Планировка территории</t>
  </si>
  <si>
    <t>Разработка грунта в отвал (при устройстве покрытий)</t>
  </si>
  <si>
    <t>Тип1-а/б покрытие (серый цвет) S=339,6 м2</t>
  </si>
  <si>
    <t>Тип4,5-тротуарная плитка ("квадрат"светло-серый цвет S=20,5 м2; "прямоугольная"серый цвет S=172,2 м2. (всего: S=192,7 м2) с возможностью проезда пожарной машины</t>
  </si>
  <si>
    <t>Тип6,7-тротуарная плитка ("домино"серый цвет S=13,5 м2; "домино"светло-серый цвет S=131,2 м2. (всего: S=144,7 м2)</t>
  </si>
  <si>
    <t>МАФ</t>
  </si>
  <si>
    <t>ЗЕМЛЯНЫЕ РАБОТЫ, ПОКРЫТИЯ-благоустройство территории</t>
  </si>
  <si>
    <t>ПОКРЫТИЯ крытой автостоянки</t>
  </si>
  <si>
    <t xml:space="preserve">Тип4,5-тротуарная плитка ("квадрат"светло-серый цвет S=27,4 м2; "прямоугольная"серый цвет S=222,8 м2. (всего: S=250,2 м2) </t>
  </si>
  <si>
    <t>Устройство основания из щебня</t>
  </si>
  <si>
    <t>щебень фр. 20-40 Н=150мм</t>
  </si>
  <si>
    <t>Устройство основания из бетона</t>
  </si>
  <si>
    <t>бетон В15 армир.дорожной сеткой Н=120мм</t>
  </si>
  <si>
    <t>Сетка4  Вр-1 100*100</t>
  </si>
  <si>
    <t>Устройство геотекстиля</t>
  </si>
  <si>
    <t>геотекстиль Planter Geo</t>
  </si>
  <si>
    <t>Отмостка S=140,25 м2</t>
  </si>
  <si>
    <t>Асфальтобетонное покрытие (крупнозернистый а/б толщ.5см)</t>
  </si>
  <si>
    <t>Асфальтобетонное покрытие</t>
  </si>
  <si>
    <t>Устройство основания из песка</t>
  </si>
  <si>
    <t>Устройство покрытия ФЭМ</t>
  </si>
  <si>
    <t>Засыпка плодородным грунтом б=0,2м</t>
  </si>
  <si>
    <t>щебень Н=100мм</t>
  </si>
  <si>
    <t>Сетка защитная СЕБ-ОСА-080-Н</t>
  </si>
  <si>
    <t>Устройство воздухоприемное РОН 110-600*400-30-Ц</t>
  </si>
  <si>
    <t>Отбойники металлические</t>
  </si>
  <si>
    <t>Колесоотбойник, диаметр трубы 76 мм, 150*76*2000 мм</t>
  </si>
  <si>
    <t>Защита колонны 400 мм, диаметр трубы 76 мм, 300*300*750 мм</t>
  </si>
  <si>
    <t>Защита колонны 500 мм, диаметр трубы 76 мм, 300*300*850 мм</t>
  </si>
  <si>
    <t>Защита угла, диаметр трубы 76 мм, 305*500*500 мм</t>
  </si>
  <si>
    <t xml:space="preserve">Фасад Отсек №1 </t>
  </si>
  <si>
    <t>Облицовка фасадной керамогранитной  морозостойкой плиткой на высоту 300мм (цоколь)</t>
  </si>
  <si>
    <t>материалы в комлексе</t>
  </si>
  <si>
    <t>Ограждения паркинга (57 шт.)</t>
  </si>
  <si>
    <t>трубы из нержавейки</t>
  </si>
  <si>
    <t>Кровля наружных воздуховодов</t>
  </si>
  <si>
    <t>металлопрофиль стеновой</t>
  </si>
  <si>
    <t>Установка павильона для сбора мусора</t>
  </si>
  <si>
    <t xml:space="preserve">Тип10-газон S=269,8 м2  </t>
  </si>
  <si>
    <t>Монтаж лотка с решеткой ЛВ-20.24-10-ПВ</t>
  </si>
  <si>
    <t>щебень</t>
  </si>
  <si>
    <t>Плоскостная крытая стоянка на 18 мест (раздел км)</t>
  </si>
  <si>
    <t>Арматура Ф12 А3</t>
  </si>
  <si>
    <t>Арматура Ф6 А1</t>
  </si>
  <si>
    <t>Устройство кладки из газоблока б=200</t>
  </si>
  <si>
    <t>Устройство кладки из газоблока б=100</t>
  </si>
  <si>
    <t>горизонтальное армирование:</t>
  </si>
  <si>
    <t>Устройство обвязочного пояса на отм.-0,150м</t>
  </si>
  <si>
    <t xml:space="preserve">Бетон В15 </t>
  </si>
  <si>
    <t>Устройство обрамления проемов на отм -3,700</t>
  </si>
  <si>
    <t>Кладка стен из камня-ракушечника на отм -4,100 подвальный этаж (ЛЛУ№2)</t>
  </si>
  <si>
    <t>Устройство обрамления проемов на отм -4,100</t>
  </si>
  <si>
    <t>Устройство обрамления проемов на отм -0,100</t>
  </si>
  <si>
    <t xml:space="preserve">Устройство обрамления проемов </t>
  </si>
  <si>
    <t>Устройство м/к вентканалов</t>
  </si>
  <si>
    <t>Монтаж профнастила</t>
  </si>
  <si>
    <t xml:space="preserve">Кладка стен из камня-ракушечника </t>
  </si>
  <si>
    <t xml:space="preserve">Устройство обвязочного пояса </t>
  </si>
  <si>
    <t>Устройство обрамления проемов в перегородках б=200,400мм на отм.-3,700 (Пм1-Пм6)</t>
  </si>
  <si>
    <t>Заполнение Зп1-Зп6 (подготовка)</t>
  </si>
  <si>
    <t xml:space="preserve">Устройство кладки из газоблока </t>
  </si>
  <si>
    <t>Устройство обрамления проемов Пм5-Пм10</t>
  </si>
  <si>
    <t>Кладка вентканалов из кирпича</t>
  </si>
  <si>
    <t>Устройство м/к</t>
  </si>
  <si>
    <t>Огрунтовка металлических конструкций</t>
  </si>
  <si>
    <t>Окраска металлических конструкций</t>
  </si>
  <si>
    <t>Устройство ц.-п. стяжки, армированная сеткой Вр-4, ячейка 100х100мм-40мм</t>
  </si>
  <si>
    <t>Цементно-песчаный раствор</t>
  </si>
  <si>
    <t>Сетка яч.100*100</t>
  </si>
  <si>
    <t>Устройство паробарьера из пленки пвх</t>
  </si>
  <si>
    <t xml:space="preserve">Монтаж крышки на парапет </t>
  </si>
  <si>
    <t>Парапетная стена 
(h-0,88м)-устройство защитного фартука</t>
  </si>
  <si>
    <t>Штукатурка парапетной стены</t>
  </si>
  <si>
    <t>Штукатурная смесь</t>
  </si>
  <si>
    <t>Грунтовка</t>
  </si>
  <si>
    <t>Маяк штукатурный</t>
  </si>
  <si>
    <t>краска полифарб фасадная</t>
  </si>
  <si>
    <t>штукатурка декоративная</t>
  </si>
  <si>
    <t>Устройство ограждения кровли ОМ1-ОМ6
 (h-0,5м) (работа+материалы)</t>
  </si>
  <si>
    <t>грунтовка кварцевая</t>
  </si>
  <si>
    <t>Клей для утеплителя</t>
  </si>
  <si>
    <t>Сетка фасадная</t>
  </si>
  <si>
    <t>Дюбеля фасадные</t>
  </si>
  <si>
    <t>утеплитель (минвата б=50мм)</t>
  </si>
  <si>
    <t>утеплитель (экструдированный пенополистирол б=50мм)</t>
  </si>
  <si>
    <t>Устройство ограждения металлического (Огр.мет.-1…5)</t>
  </si>
  <si>
    <t>Устройство м/к крыши (в осях 1-2, А/2-Г</t>
  </si>
  <si>
    <t>Устройство разуклонки из пенополистиролбетона,б=50</t>
  </si>
  <si>
    <t xml:space="preserve">Утеплитель пенополистиролбетон 50мм </t>
  </si>
  <si>
    <t>Устройство кровли из полимерной мембраны LOGICROOF</t>
  </si>
  <si>
    <t>Полимерная мембрана LOGICROOF V-GR FB</t>
  </si>
  <si>
    <t>Клей контактный LOGICROOF BOND</t>
  </si>
  <si>
    <t>Саморез + крепеж (80мм)</t>
  </si>
  <si>
    <t>Геотекстиль</t>
  </si>
  <si>
    <t xml:space="preserve">Кровля </t>
  </si>
  <si>
    <t>Монтаж покрытия из металлопрофиля</t>
  </si>
  <si>
    <t>Металлопрофиль</t>
  </si>
  <si>
    <t>Устройство обрешетки</t>
  </si>
  <si>
    <t>Доска 25*100</t>
  </si>
  <si>
    <t>Гвозди</t>
  </si>
  <si>
    <t>Устройство контррейки</t>
  </si>
  <si>
    <t>Контррейка</t>
  </si>
  <si>
    <t>Устройство ветробарьера из пленки пвх</t>
  </si>
  <si>
    <t>ветроизоляционная пленка</t>
  </si>
  <si>
    <t>Пленка паробарьер</t>
  </si>
  <si>
    <t>Стропильные ноги-учтены в смете "кладка" (м/к кровли)</t>
  </si>
  <si>
    <t>Отсек №1. Ниже отм. 0.000</t>
  </si>
  <si>
    <t>щебень толщ. 100мм</t>
  </si>
  <si>
    <t>песок</t>
  </si>
  <si>
    <t>бетон (М-200)</t>
  </si>
  <si>
    <t>Устройство основания отмостки из щебня и песка</t>
  </si>
  <si>
    <t>Устройство бетонного покрытия отмостки</t>
  </si>
  <si>
    <t>Кровля по узлу "В" (S=49 м2)</t>
  </si>
  <si>
    <t>Кровля по узлу "А" (S=986,8 м2)</t>
  </si>
  <si>
    <t xml:space="preserve">Утепление стен цоколя экструдированным пенополистиролом </t>
  </si>
  <si>
    <t>Фасад  (утепление, штукатурка по сетке, декоративная штукатурка, окраска)</t>
  </si>
  <si>
    <t>Фасад  (декоративная штукатурка, окраска)</t>
  </si>
  <si>
    <t xml:space="preserve">Утепление внутренних стен </t>
  </si>
  <si>
    <t>Семена газоных трав (0,06кг/м2)</t>
  </si>
  <si>
    <r>
      <t>Установка кранов 15 мм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</si>
  <si>
    <r>
      <t>Прокладка труб гофрированных ПВХ 
ф 20х2,8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</si>
  <si>
    <r>
      <t>Установка смесителей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</si>
  <si>
    <r>
      <t>Установка кранов поливочных диаметром: 25 мм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</si>
  <si>
    <r>
      <t>Установка счетчиков крыльчатых (водомеров) диаметром: до 20 мм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</si>
  <si>
    <r>
      <t>Устройство ковра (поливочный кран наружный) индивид. изготовл.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</si>
  <si>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Прокладка труб гофрированных ПВХ 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</si>
  <si>
    <r>
      <t>Установка манометров: с трехходовым краном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</si>
  <si>
    <r>
      <t>Изоляция трубопроводов цилиндрами и полуцилиндрами из минеральной ваты на синтетическом связующем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</si>
  <si>
    <r>
      <t>Установка задвижек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</si>
  <si>
    <r>
      <t>Установка насосов центробежных с элек-тродвигателем, масса агрегата: до 0,1 т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</si>
  <si>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Прокладка трубопроводов отопления и водоснабжения из стальных электрос-варных труб диаметром: 76 мм 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</si>
  <si>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Прокладка трубопроводов отопления и водоснабжения из стальных электрос-варных труб диаметром: 89 мм 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</si>
  <si>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Прокладка трубопроводов отопления и водоснабжения из стальных электросварных труб диаметром: 108 мм 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</si>
  <si>
    <t>на все металллоконструкции:</t>
  </si>
  <si>
    <t>Благоустройство (МАФ).</t>
  </si>
  <si>
    <r>
      <t xml:space="preserve">стоимость 1 маш/м = 133 772 582,23 руб/151 = </t>
    </r>
    <r>
      <rPr>
        <b/>
        <sz val="11"/>
        <color theme="1"/>
        <rFont val="Calibri"/>
        <family val="2"/>
        <charset val="204"/>
        <scheme val="minor"/>
      </rPr>
      <t>885 911, 15 руб</t>
    </r>
  </si>
  <si>
    <r>
      <t xml:space="preserve">стоимость 1м2 машиноместа = 133 772 582,23руб/ 2 698,6 = </t>
    </r>
    <r>
      <rPr>
        <b/>
        <sz val="11"/>
        <color theme="1"/>
        <rFont val="Calibri"/>
        <family val="2"/>
        <charset val="204"/>
        <scheme val="minor"/>
      </rPr>
      <t>49 571,1 руб</t>
    </r>
  </si>
  <si>
    <t>Отсек №1. СТЕНЫ и ПЕРЕГОРОДКИ</t>
  </si>
  <si>
    <t>Отсек №1.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</si>
</sst>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_₽_-;\-* #,##0.00\ _₽_-;_-* &quot;-&quot;??\ _₽_-;_-@_-"/>
    <numFmt numFmtId="165" formatCode="0.000"/>
    <numFmt numFmtId="166" formatCode="#,##0.000"/>
    <numFmt numFmtId="167" formatCode="0.0000"/>
    <numFmt numFmtId="168" formatCode="#,##0.0000"/>
    <numFmt numFmtId="169" formatCode="#,##0.00;[Red]\-\ #,##0.00"/>
    <numFmt numFmtId="170" formatCode="0.0"/>
    <numFmt numFmtId="171" formatCode="0.0000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0"/>
      <color rgb="FF00000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 Cyr"/>
      <charset val="204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39" fillId="0" borderId="0"/>
    <xf numFmtId="0" fontId="40" fillId="0" borderId="17" applyBorder="0" applyAlignment="0">
      <alignment horizontal="center"/>
    </xf>
    <xf numFmtId="0" fontId="40" fillId="0" borderId="0">
      <alignment horizontal="left" vertical="top"/>
    </xf>
    <xf numFmtId="169" fontId="21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58" fillId="0" borderId="0"/>
    <xf numFmtId="9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1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69" fillId="0" borderId="0"/>
  </cellStyleXfs>
  <cellXfs count="457">
    <xf numFmtId="0" fontId="0" fillId="0" borderId="0" xfId="0"/>
    <xf numFmtId="0" fontId="33" fillId="0" borderId="1" xfId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vertical="center" wrapText="1"/>
    </xf>
    <xf numFmtId="0" fontId="20" fillId="0" borderId="0" xfId="11" applyFont="1" applyFill="1"/>
    <xf numFmtId="0" fontId="20" fillId="0" borderId="0" xfId="11" applyFont="1" applyFill="1" applyBorder="1" applyAlignment="1">
      <alignment horizontal="center" vertical="center" wrapText="1"/>
    </xf>
    <xf numFmtId="0" fontId="23" fillId="0" borderId="1" xfId="21" applyFont="1" applyFill="1" applyBorder="1" applyAlignment="1">
      <alignment horizontal="left" vertical="center" wrapText="1"/>
    </xf>
    <xf numFmtId="0" fontId="17" fillId="0" borderId="1" xfId="21" applyFill="1" applyBorder="1" applyAlignment="1">
      <alignment horizontal="center" vertical="center" wrapText="1"/>
    </xf>
    <xf numFmtId="0" fontId="24" fillId="0" borderId="0" xfId="21" applyFont="1" applyFill="1" applyAlignment="1">
      <alignment horizontal="center" vertical="center" wrapText="1"/>
    </xf>
    <xf numFmtId="0" fontId="23" fillId="0" borderId="9" xfId="21" applyFont="1" applyFill="1" applyBorder="1" applyAlignment="1">
      <alignment horizontal="center" vertical="center" wrapText="1"/>
    </xf>
    <xf numFmtId="10" fontId="23" fillId="0" borderId="1" xfId="21" applyNumberFormat="1" applyFont="1" applyFill="1" applyBorder="1" applyAlignment="1">
      <alignment horizontal="center" vertical="center" wrapText="1"/>
    </xf>
    <xf numFmtId="0" fontId="17" fillId="0" borderId="0" xfId="21" applyFill="1" applyAlignment="1">
      <alignment horizontal="center" vertical="center" wrapText="1"/>
    </xf>
    <xf numFmtId="0" fontId="15" fillId="0" borderId="1" xfId="21" applyFont="1" applyFill="1" applyBorder="1" applyAlignment="1">
      <alignment horizontal="center" vertical="center" wrapText="1"/>
    </xf>
    <xf numFmtId="0" fontId="26" fillId="0" borderId="1" xfId="21" applyFont="1" applyFill="1" applyBorder="1" applyAlignment="1">
      <alignment horizontal="center" vertical="center" wrapText="1"/>
    </xf>
    <xf numFmtId="0" fontId="26" fillId="0" borderId="1" xfId="21" applyFont="1" applyFill="1" applyBorder="1" applyAlignment="1">
      <alignment horizontal="right" vertical="center" wrapText="1"/>
    </xf>
    <xf numFmtId="4" fontId="35" fillId="0" borderId="0" xfId="21" applyNumberFormat="1" applyFont="1" applyFill="1"/>
    <xf numFmtId="0" fontId="66" fillId="0" borderId="1" xfId="23" applyFont="1" applyFill="1" applyBorder="1" applyAlignment="1">
      <alignment horizontal="left" vertical="top" wrapText="1"/>
    </xf>
    <xf numFmtId="0" fontId="66" fillId="0" borderId="1" xfId="23" applyFont="1" applyFill="1" applyBorder="1" applyAlignment="1">
      <alignment horizontal="center" vertical="top" wrapText="1"/>
    </xf>
    <xf numFmtId="0" fontId="66" fillId="0" borderId="1" xfId="23" applyNumberFormat="1" applyFont="1" applyFill="1" applyBorder="1" applyAlignment="1">
      <alignment horizontal="center" vertical="top" wrapText="1"/>
    </xf>
    <xf numFmtId="0" fontId="62" fillId="0" borderId="0" xfId="23" applyFont="1" applyFill="1"/>
    <xf numFmtId="2" fontId="66" fillId="0" borderId="1" xfId="23" applyNumberFormat="1" applyFont="1" applyFill="1" applyBorder="1" applyAlignment="1">
      <alignment horizontal="center" vertical="top" wrapText="1"/>
    </xf>
    <xf numFmtId="0" fontId="58" fillId="0" borderId="1" xfId="23" applyFill="1" applyBorder="1" applyAlignment="1">
      <alignment vertical="top" wrapText="1"/>
    </xf>
    <xf numFmtId="0" fontId="58" fillId="0" borderId="1" xfId="23" applyFill="1" applyBorder="1" applyAlignment="1">
      <alignment horizontal="center" vertical="top" wrapText="1"/>
    </xf>
    <xf numFmtId="0" fontId="47" fillId="0" borderId="1" xfId="18" applyFont="1" applyFill="1" applyBorder="1"/>
    <xf numFmtId="4" fontId="47" fillId="0" borderId="1" xfId="18" applyNumberFormat="1" applyFont="1" applyFill="1" applyBorder="1" applyAlignment="1">
      <alignment horizontal="center"/>
    </xf>
    <xf numFmtId="49" fontId="26" fillId="0" borderId="1" xfId="21" applyNumberFormat="1" applyFont="1" applyFill="1" applyBorder="1" applyAlignment="1">
      <alignment horizontal="right" vertical="center" wrapText="1"/>
    </xf>
    <xf numFmtId="0" fontId="12" fillId="0" borderId="1" xfId="21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vertical="top" wrapText="1"/>
    </xf>
    <xf numFmtId="0" fontId="65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top" wrapText="1"/>
    </xf>
    <xf numFmtId="0" fontId="66" fillId="0" borderId="1" xfId="7" applyFont="1" applyFill="1" applyBorder="1" applyAlignment="1">
      <alignment horizontal="center" vertical="top" wrapText="1"/>
    </xf>
    <xf numFmtId="0" fontId="66" fillId="0" borderId="1" xfId="7" applyNumberFormat="1" applyFont="1" applyFill="1" applyBorder="1" applyAlignment="1">
      <alignment horizontal="center" vertical="top" wrapText="1"/>
    </xf>
    <xf numFmtId="0" fontId="62" fillId="0" borderId="1" xfId="0" applyFont="1" applyFill="1" applyBorder="1" applyAlignment="1">
      <alignment horizontal="left" vertical="top" wrapText="1"/>
    </xf>
    <xf numFmtId="0" fontId="62" fillId="0" borderId="1" xfId="7" applyFont="1" applyFill="1" applyBorder="1" applyAlignment="1">
      <alignment horizontal="center" vertical="top" wrapText="1"/>
    </xf>
    <xf numFmtId="2" fontId="62" fillId="0" borderId="1" xfId="7" applyNumberFormat="1" applyFont="1" applyFill="1" applyBorder="1" applyAlignment="1">
      <alignment horizontal="center" vertical="top" wrapText="1"/>
    </xf>
    <xf numFmtId="0" fontId="17" fillId="0" borderId="2" xfId="2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42" fillId="0" borderId="1" xfId="21" applyNumberFormat="1" applyFont="1" applyFill="1" applyBorder="1" applyAlignment="1">
      <alignment horizontal="center" vertical="center" wrapText="1"/>
    </xf>
    <xf numFmtId="0" fontId="35" fillId="0" borderId="1" xfId="23" applyFont="1" applyFill="1" applyBorder="1" applyAlignment="1">
      <alignment horizontal="center" vertical="center" wrapText="1"/>
    </xf>
    <xf numFmtId="0" fontId="42" fillId="0" borderId="1" xfId="23" applyFont="1" applyFill="1" applyBorder="1" applyAlignment="1">
      <alignment horizontal="center" vertical="center"/>
    </xf>
    <xf numFmtId="0" fontId="35" fillId="0" borderId="1" xfId="23" applyFont="1" applyFill="1" applyBorder="1" applyAlignment="1">
      <alignment horizontal="center" vertical="center"/>
    </xf>
    <xf numFmtId="0" fontId="42" fillId="0" borderId="1" xfId="23" applyFont="1" applyFill="1" applyBorder="1" applyAlignment="1">
      <alignment horizontal="center" vertical="center" wrapText="1"/>
    </xf>
    <xf numFmtId="4" fontId="42" fillId="0" borderId="5" xfId="21" applyNumberFormat="1" applyFont="1" applyFill="1" applyBorder="1" applyAlignment="1">
      <alignment horizontal="center" vertical="center" wrapText="1"/>
    </xf>
    <xf numFmtId="3" fontId="42" fillId="0" borderId="5" xfId="21" applyNumberFormat="1" applyFont="1" applyFill="1" applyBorder="1" applyAlignment="1">
      <alignment horizontal="center" vertical="center" wrapText="1"/>
    </xf>
    <xf numFmtId="0" fontId="42" fillId="0" borderId="3" xfId="23" applyFont="1" applyFill="1" applyBorder="1" applyAlignment="1">
      <alignment horizontal="center" vertical="center" wrapText="1"/>
    </xf>
    <xf numFmtId="0" fontId="17" fillId="0" borderId="0" xfId="20" applyFill="1"/>
    <xf numFmtId="0" fontId="23" fillId="0" borderId="1" xfId="20" applyFont="1" applyFill="1" applyBorder="1" applyAlignment="1">
      <alignment horizontal="center" vertical="center"/>
    </xf>
    <xf numFmtId="4" fontId="25" fillId="0" borderId="1" xfId="21" applyNumberFormat="1" applyFont="1" applyFill="1" applyBorder="1" applyAlignment="1">
      <alignment horizontal="center" vertical="center" wrapText="1"/>
    </xf>
    <xf numFmtId="0" fontId="25" fillId="0" borderId="1" xfId="23" applyFont="1" applyFill="1" applyBorder="1" applyAlignment="1">
      <alignment horizontal="center" vertical="center" wrapText="1"/>
    </xf>
    <xf numFmtId="0" fontId="25" fillId="0" borderId="1" xfId="23" applyFont="1" applyFill="1" applyBorder="1" applyAlignment="1">
      <alignment horizontal="center" vertical="center"/>
    </xf>
    <xf numFmtId="0" fontId="25" fillId="0" borderId="3" xfId="23" applyFont="1" applyFill="1" applyBorder="1" applyAlignment="1">
      <alignment horizontal="center" vertical="center" wrapText="1"/>
    </xf>
    <xf numFmtId="0" fontId="45" fillId="0" borderId="0" xfId="18" applyFont="1" applyFill="1"/>
    <xf numFmtId="4" fontId="47" fillId="0" borderId="1" xfId="18" applyNumberFormat="1" applyFont="1" applyFill="1" applyBorder="1" applyAlignment="1">
      <alignment horizontal="center" vertical="center" wrapText="1"/>
    </xf>
    <xf numFmtId="4" fontId="35" fillId="0" borderId="1" xfId="21" applyNumberFormat="1" applyFont="1" applyFill="1" applyBorder="1" applyAlignment="1">
      <alignment horizontal="center" vertical="center" wrapText="1"/>
    </xf>
    <xf numFmtId="4" fontId="27" fillId="0" borderId="1" xfId="21" applyNumberFormat="1" applyFont="1" applyFill="1" applyBorder="1" applyAlignment="1">
      <alignment horizontal="center" vertical="center" wrapText="1"/>
    </xf>
    <xf numFmtId="0" fontId="23" fillId="0" borderId="1" xfId="21" applyFont="1" applyFill="1" applyBorder="1" applyAlignment="1">
      <alignment horizontal="center" vertical="center" wrapText="1"/>
    </xf>
    <xf numFmtId="0" fontId="33" fillId="0" borderId="0" xfId="33" applyFont="1" applyFill="1" applyAlignment="1">
      <alignment horizontal="center" vertical="center"/>
    </xf>
    <xf numFmtId="0" fontId="33" fillId="0" borderId="0" xfId="33" applyFont="1" applyFill="1" applyAlignment="1">
      <alignment horizontal="center" vertical="center" wrapText="1"/>
    </xf>
    <xf numFmtId="0" fontId="35" fillId="0" borderId="0" xfId="33" applyFont="1" applyFill="1"/>
    <xf numFmtId="0" fontId="25" fillId="0" borderId="1" xfId="33" applyFont="1" applyFill="1" applyBorder="1" applyAlignment="1">
      <alignment horizontal="center" vertical="center"/>
    </xf>
    <xf numFmtId="4" fontId="25" fillId="0" borderId="1" xfId="33" applyNumberFormat="1" applyFont="1" applyFill="1" applyBorder="1" applyAlignment="1">
      <alignment horizontal="center" vertical="center"/>
    </xf>
    <xf numFmtId="0" fontId="35" fillId="0" borderId="1" xfId="33" applyFont="1" applyFill="1" applyBorder="1"/>
    <xf numFmtId="0" fontId="35" fillId="0" borderId="1" xfId="33" applyFont="1" applyFill="1" applyBorder="1" applyAlignment="1">
      <alignment horizontal="center" vertical="center"/>
    </xf>
    <xf numFmtId="4" fontId="35" fillId="0" borderId="1" xfId="33" applyNumberFormat="1" applyFont="1" applyFill="1" applyBorder="1" applyAlignment="1">
      <alignment horizontal="center" vertical="center"/>
    </xf>
    <xf numFmtId="4" fontId="35" fillId="0" borderId="0" xfId="33" applyNumberFormat="1" applyFont="1" applyFill="1"/>
    <xf numFmtId="0" fontId="33" fillId="0" borderId="0" xfId="14" applyFont="1" applyFill="1" applyAlignment="1">
      <alignment horizontal="center" vertical="center"/>
    </xf>
    <xf numFmtId="0" fontId="33" fillId="0" borderId="0" xfId="14" applyFont="1" applyFill="1" applyAlignment="1">
      <alignment horizontal="center" vertical="center" wrapText="1"/>
    </xf>
    <xf numFmtId="0" fontId="27" fillId="0" borderId="2" xfId="14" applyFont="1" applyFill="1" applyBorder="1" applyAlignment="1">
      <alignment horizontal="center" vertical="center" wrapText="1"/>
    </xf>
    <xf numFmtId="0" fontId="30" fillId="0" borderId="1" xfId="14" applyFont="1" applyFill="1" applyBorder="1" applyAlignment="1">
      <alignment horizontal="center" vertical="center" wrapText="1"/>
    </xf>
    <xf numFmtId="0" fontId="27" fillId="0" borderId="1" xfId="14" applyFont="1" applyFill="1" applyBorder="1" applyAlignment="1">
      <alignment horizontal="center" vertical="center" wrapText="1"/>
    </xf>
    <xf numFmtId="0" fontId="27" fillId="0" borderId="0" xfId="14" applyFont="1" applyFill="1" applyAlignment="1">
      <alignment horizontal="center" vertical="center" wrapText="1"/>
    </xf>
    <xf numFmtId="0" fontId="33" fillId="0" borderId="1" xfId="14" applyFont="1" applyFill="1" applyBorder="1" applyAlignment="1">
      <alignment horizontal="center" vertical="center" wrapText="1"/>
    </xf>
    <xf numFmtId="165" fontId="19" fillId="0" borderId="1" xfId="14" applyNumberFormat="1" applyFill="1" applyBorder="1" applyAlignment="1">
      <alignment horizontal="center" vertical="center"/>
    </xf>
    <xf numFmtId="0" fontId="27" fillId="0" borderId="1" xfId="14" applyFont="1" applyFill="1" applyBorder="1" applyAlignment="1">
      <alignment horizontal="center" wrapText="1"/>
    </xf>
    <xf numFmtId="165" fontId="30" fillId="0" borderId="1" xfId="14" applyNumberFormat="1" applyFont="1" applyFill="1" applyBorder="1" applyAlignment="1">
      <alignment horizontal="center" vertical="center" wrapText="1"/>
    </xf>
    <xf numFmtId="0" fontId="35" fillId="0" borderId="0" xfId="14" applyFont="1" applyFill="1"/>
    <xf numFmtId="0" fontId="35" fillId="0" borderId="1" xfId="14" applyFont="1" applyFill="1" applyBorder="1" applyAlignment="1">
      <alignment horizontal="center"/>
    </xf>
    <xf numFmtId="4" fontId="19" fillId="0" borderId="1" xfId="14" applyNumberFormat="1" applyFill="1" applyBorder="1" applyAlignment="1">
      <alignment horizontal="center" vertical="center"/>
    </xf>
    <xf numFmtId="0" fontId="35" fillId="0" borderId="1" xfId="14" applyFont="1" applyFill="1" applyBorder="1"/>
    <xf numFmtId="167" fontId="19" fillId="0" borderId="1" xfId="14" applyNumberFormat="1" applyFill="1" applyBorder="1" applyAlignment="1">
      <alignment horizontal="center" vertical="center"/>
    </xf>
    <xf numFmtId="168" fontId="19" fillId="0" borderId="1" xfId="14" applyNumberFormat="1" applyFill="1" applyBorder="1" applyAlignment="1">
      <alignment horizontal="center" vertical="center"/>
    </xf>
    <xf numFmtId="4" fontId="35" fillId="0" borderId="0" xfId="14" applyNumberFormat="1" applyFont="1" applyFill="1"/>
    <xf numFmtId="4" fontId="27" fillId="0" borderId="1" xfId="14" applyNumberFormat="1" applyFont="1" applyFill="1" applyBorder="1" applyAlignment="1">
      <alignment horizontal="center" vertical="center" wrapText="1"/>
    </xf>
    <xf numFmtId="4" fontId="30" fillId="0" borderId="1" xfId="14" applyNumberFormat="1" applyFont="1" applyFill="1" applyBorder="1" applyAlignment="1">
      <alignment horizontal="center" vertical="center" wrapText="1"/>
    </xf>
    <xf numFmtId="166" fontId="30" fillId="0" borderId="1" xfId="14" applyNumberFormat="1" applyFont="1" applyFill="1" applyBorder="1" applyAlignment="1">
      <alignment horizontal="center" vertical="center" wrapText="1"/>
    </xf>
    <xf numFmtId="2" fontId="27" fillId="0" borderId="1" xfId="14" applyNumberFormat="1" applyFont="1" applyFill="1" applyBorder="1" applyAlignment="1">
      <alignment horizontal="center" vertical="center" wrapText="1"/>
    </xf>
    <xf numFmtId="2" fontId="30" fillId="0" borderId="1" xfId="14" applyNumberFormat="1" applyFont="1" applyFill="1" applyBorder="1" applyAlignment="1">
      <alignment horizontal="center" vertical="center" wrapText="1"/>
    </xf>
    <xf numFmtId="165" fontId="27" fillId="0" borderId="1" xfId="14" applyNumberFormat="1" applyFont="1" applyFill="1" applyBorder="1" applyAlignment="1">
      <alignment horizontal="center" vertical="center" wrapText="1"/>
    </xf>
    <xf numFmtId="165" fontId="34" fillId="0" borderId="1" xfId="14" applyNumberFormat="1" applyFont="1" applyFill="1" applyBorder="1" applyAlignment="1">
      <alignment horizontal="center" vertical="center" wrapText="1"/>
    </xf>
    <xf numFmtId="4" fontId="28" fillId="0" borderId="1" xfId="14" applyNumberFormat="1" applyFont="1" applyFill="1" applyBorder="1" applyAlignment="1">
      <alignment horizontal="center" vertical="center" wrapText="1"/>
    </xf>
    <xf numFmtId="0" fontId="33" fillId="0" borderId="0" xfId="36" applyFont="1" applyFill="1" applyAlignment="1">
      <alignment horizontal="center" vertical="center"/>
    </xf>
    <xf numFmtId="0" fontId="3" fillId="0" borderId="0" xfId="36" applyFill="1"/>
    <xf numFmtId="0" fontId="25" fillId="0" borderId="2" xfId="36" applyFont="1" applyFill="1" applyBorder="1" applyAlignment="1">
      <alignment horizontal="left" vertical="center"/>
    </xf>
    <xf numFmtId="0" fontId="35" fillId="0" borderId="2" xfId="36" applyFont="1" applyFill="1" applyBorder="1" applyAlignment="1">
      <alignment horizontal="left" vertical="center"/>
    </xf>
    <xf numFmtId="0" fontId="35" fillId="0" borderId="1" xfId="36" applyFont="1" applyFill="1" applyBorder="1" applyAlignment="1">
      <alignment horizontal="left" vertical="center"/>
    </xf>
    <xf numFmtId="0" fontId="42" fillId="0" borderId="1" xfId="36" applyFont="1" applyFill="1" applyBorder="1" applyAlignment="1">
      <alignment horizontal="left"/>
    </xf>
    <xf numFmtId="0" fontId="35" fillId="0" borderId="1" xfId="36" applyFont="1" applyFill="1" applyBorder="1" applyAlignment="1">
      <alignment horizontal="left"/>
    </xf>
    <xf numFmtId="0" fontId="25" fillId="0" borderId="1" xfId="36" applyFont="1" applyFill="1" applyBorder="1" applyAlignment="1">
      <alignment horizontal="left"/>
    </xf>
    <xf numFmtId="0" fontId="42" fillId="0" borderId="1" xfId="36" applyFont="1" applyFill="1" applyBorder="1" applyAlignment="1">
      <alignment horizontal="left" vertical="center"/>
    </xf>
    <xf numFmtId="165" fontId="35" fillId="0" borderId="1" xfId="36" applyNumberFormat="1" applyFont="1" applyFill="1" applyBorder="1" applyAlignment="1">
      <alignment horizontal="left" vertical="center"/>
    </xf>
    <xf numFmtId="0" fontId="35" fillId="0" borderId="1" xfId="36" applyFont="1" applyFill="1" applyBorder="1" applyAlignment="1">
      <alignment horizontal="left" wrapText="1"/>
    </xf>
    <xf numFmtId="165" fontId="35" fillId="0" borderId="1" xfId="36" applyNumberFormat="1" applyFont="1" applyFill="1" applyBorder="1" applyAlignment="1">
      <alignment horizontal="left"/>
    </xf>
    <xf numFmtId="0" fontId="3" fillId="0" borderId="0" xfId="38" applyFill="1"/>
    <xf numFmtId="2" fontId="35" fillId="0" borderId="1" xfId="36" applyNumberFormat="1" applyFont="1" applyFill="1" applyBorder="1" applyAlignment="1">
      <alignment horizontal="left" vertical="center"/>
    </xf>
    <xf numFmtId="1" fontId="35" fillId="0" borderId="1" xfId="36" applyNumberFormat="1" applyFont="1" applyFill="1" applyBorder="1" applyAlignment="1">
      <alignment horizontal="left" vertical="center"/>
    </xf>
    <xf numFmtId="0" fontId="42" fillId="0" borderId="1" xfId="36" applyFont="1" applyFill="1" applyBorder="1" applyAlignment="1">
      <alignment horizontal="left" wrapText="1"/>
    </xf>
    <xf numFmtId="2" fontId="35" fillId="0" borderId="1" xfId="36" applyNumberFormat="1" applyFont="1" applyFill="1" applyBorder="1" applyAlignment="1">
      <alignment horizontal="left"/>
    </xf>
    <xf numFmtId="0" fontId="35" fillId="0" borderId="1" xfId="36" applyFont="1" applyFill="1" applyBorder="1" applyAlignment="1">
      <alignment horizontal="left" vertical="center" wrapText="1"/>
    </xf>
    <xf numFmtId="170" fontId="35" fillId="0" borderId="1" xfId="36" applyNumberFormat="1" applyFont="1" applyFill="1" applyBorder="1" applyAlignment="1">
      <alignment horizontal="left" vertical="center"/>
    </xf>
    <xf numFmtId="0" fontId="71" fillId="0" borderId="1" xfId="36" applyFont="1" applyFill="1" applyBorder="1" applyAlignment="1">
      <alignment horizontal="left"/>
    </xf>
    <xf numFmtId="0" fontId="25" fillId="0" borderId="1" xfId="36" applyFont="1" applyFill="1" applyBorder="1" applyAlignment="1">
      <alignment horizontal="left" vertical="center" wrapText="1"/>
    </xf>
    <xf numFmtId="0" fontId="25" fillId="0" borderId="1" xfId="36" applyFont="1" applyFill="1" applyBorder="1" applyAlignment="1">
      <alignment horizontal="left" vertical="center"/>
    </xf>
    <xf numFmtId="165" fontId="25" fillId="0" borderId="1" xfId="36" applyNumberFormat="1" applyFont="1" applyFill="1" applyBorder="1" applyAlignment="1">
      <alignment horizontal="left" vertical="center"/>
    </xf>
    <xf numFmtId="170" fontId="25" fillId="0" borderId="1" xfId="36" applyNumberFormat="1" applyFont="1" applyFill="1" applyBorder="1" applyAlignment="1">
      <alignment horizontal="left" vertical="center"/>
    </xf>
    <xf numFmtId="171" fontId="35" fillId="0" borderId="1" xfId="36" applyNumberFormat="1" applyFont="1" applyFill="1" applyBorder="1" applyAlignment="1">
      <alignment horizontal="left"/>
    </xf>
    <xf numFmtId="0" fontId="44" fillId="0" borderId="0" xfId="36" applyFont="1" applyFill="1"/>
    <xf numFmtId="0" fontId="33" fillId="0" borderId="1" xfId="39" applyFont="1" applyFill="1" applyBorder="1" applyAlignment="1">
      <alignment vertical="center" wrapText="1"/>
    </xf>
    <xf numFmtId="0" fontId="30" fillId="0" borderId="1" xfId="39" applyFont="1" applyFill="1" applyBorder="1" applyAlignment="1">
      <alignment horizontal="center" vertical="center" wrapText="1"/>
    </xf>
    <xf numFmtId="2" fontId="25" fillId="0" borderId="1" xfId="36" applyNumberFormat="1" applyFont="1" applyFill="1" applyBorder="1" applyAlignment="1">
      <alignment horizontal="left" vertical="center"/>
    </xf>
    <xf numFmtId="4" fontId="3" fillId="0" borderId="1" xfId="39" applyNumberFormat="1" applyFill="1" applyBorder="1" applyAlignment="1">
      <alignment horizontal="center" vertical="center"/>
    </xf>
    <xf numFmtId="0" fontId="3" fillId="0" borderId="0" xfId="36" applyFill="1" applyAlignment="1">
      <alignment horizontal="left"/>
    </xf>
    <xf numFmtId="0" fontId="71" fillId="0" borderId="1" xfId="36" applyFont="1" applyFill="1" applyBorder="1" applyAlignment="1">
      <alignment horizontal="left" vertical="center"/>
    </xf>
    <xf numFmtId="0" fontId="33" fillId="0" borderId="0" xfId="17" applyFont="1" applyFill="1" applyAlignment="1">
      <alignment horizontal="center" vertical="center"/>
    </xf>
    <xf numFmtId="0" fontId="18" fillId="0" borderId="0" xfId="17" applyFont="1" applyFill="1"/>
    <xf numFmtId="0" fontId="25" fillId="0" borderId="2" xfId="17" applyFont="1" applyFill="1" applyBorder="1" applyAlignment="1">
      <alignment horizontal="left" vertical="center" wrapText="1"/>
    </xf>
    <xf numFmtId="0" fontId="25" fillId="0" borderId="2" xfId="17" applyFont="1" applyFill="1" applyBorder="1" applyAlignment="1">
      <alignment horizontal="left" vertical="center"/>
    </xf>
    <xf numFmtId="0" fontId="35" fillId="0" borderId="1" xfId="17" applyFont="1" applyFill="1" applyBorder="1" applyAlignment="1">
      <alignment horizontal="left" wrapText="1"/>
    </xf>
    <xf numFmtId="0" fontId="35" fillId="0" borderId="1" xfId="17" applyFont="1" applyFill="1" applyBorder="1" applyAlignment="1">
      <alignment horizontal="left"/>
    </xf>
    <xf numFmtId="165" fontId="35" fillId="0" borderId="1" xfId="17" applyNumberFormat="1" applyFont="1" applyFill="1" applyBorder="1" applyAlignment="1">
      <alignment horizontal="left"/>
    </xf>
    <xf numFmtId="0" fontId="28" fillId="0" borderId="2" xfId="27" applyFont="1" applyFill="1" applyBorder="1" applyAlignment="1">
      <alignment horizontal="center" vertical="center" wrapText="1"/>
    </xf>
    <xf numFmtId="49" fontId="28" fillId="0" borderId="1" xfId="29" applyNumberFormat="1" applyFont="1" applyFill="1" applyBorder="1" applyAlignment="1">
      <alignment horizontal="center" vertical="center" wrapText="1"/>
    </xf>
    <xf numFmtId="4" fontId="28" fillId="0" borderId="1" xfId="29" applyNumberFormat="1" applyFont="1" applyFill="1" applyBorder="1" applyAlignment="1">
      <alignment horizontal="center" vertical="center" wrapText="1"/>
    </xf>
    <xf numFmtId="0" fontId="44" fillId="0" borderId="0" xfId="17" applyFont="1" applyFill="1"/>
    <xf numFmtId="0" fontId="30" fillId="0" borderId="2" xfId="27" applyFont="1" applyFill="1" applyBorder="1" applyAlignment="1">
      <alignment horizontal="center" vertical="center" wrapText="1"/>
    </xf>
    <xf numFmtId="49" fontId="70" fillId="0" borderId="1" xfId="29" applyNumberFormat="1" applyFont="1" applyFill="1" applyBorder="1" applyAlignment="1">
      <alignment horizontal="center" vertical="center" wrapText="1"/>
    </xf>
    <xf numFmtId="4" fontId="70" fillId="0" borderId="1" xfId="29" applyNumberFormat="1" applyFont="1" applyFill="1" applyBorder="1" applyAlignment="1">
      <alignment horizontal="center" vertical="center" wrapText="1"/>
    </xf>
    <xf numFmtId="0" fontId="23" fillId="0" borderId="1" xfId="20" applyFont="1" applyFill="1" applyBorder="1" applyAlignment="1">
      <alignment horizontal="center"/>
    </xf>
    <xf numFmtId="0" fontId="17" fillId="0" borderId="1" xfId="20" applyFill="1" applyBorder="1" applyAlignment="1">
      <alignment horizontal="left"/>
    </xf>
    <xf numFmtId="0" fontId="35" fillId="0" borderId="0" xfId="17" applyFont="1" applyFill="1" applyBorder="1" applyAlignment="1">
      <alignment horizontal="left"/>
    </xf>
    <xf numFmtId="0" fontId="18" fillId="0" borderId="0" xfId="17" applyFont="1" applyFill="1" applyAlignment="1">
      <alignment horizontal="left"/>
    </xf>
    <xf numFmtId="0" fontId="30" fillId="0" borderId="0" xfId="27" applyFont="1" applyFill="1" applyBorder="1" applyAlignment="1">
      <alignment horizontal="center" vertical="center" wrapText="1"/>
    </xf>
    <xf numFmtId="0" fontId="23" fillId="0" borderId="0" xfId="20" applyFont="1" applyFill="1" applyBorder="1" applyAlignment="1">
      <alignment horizontal="center" vertical="center"/>
    </xf>
    <xf numFmtId="0" fontId="28" fillId="0" borderId="8" xfId="27" applyFont="1" applyFill="1" applyBorder="1" applyAlignment="1">
      <alignment horizontal="center" vertical="center" wrapText="1"/>
    </xf>
    <xf numFmtId="0" fontId="25" fillId="0" borderId="1" xfId="17" applyFont="1" applyFill="1" applyBorder="1" applyAlignment="1">
      <alignment horizontal="left" vertical="center" wrapText="1"/>
    </xf>
    <xf numFmtId="0" fontId="25" fillId="0" borderId="1" xfId="17" applyFont="1" applyFill="1" applyBorder="1" applyAlignment="1">
      <alignment horizontal="left" vertical="center"/>
    </xf>
    <xf numFmtId="0" fontId="33" fillId="0" borderId="0" xfId="11" applyFont="1" applyFill="1" applyAlignment="1">
      <alignment horizontal="center" vertical="center"/>
    </xf>
    <xf numFmtId="0" fontId="29" fillId="0" borderId="0" xfId="11" applyFont="1" applyFill="1" applyAlignment="1">
      <alignment vertical="center"/>
    </xf>
    <xf numFmtId="0" fontId="29" fillId="0" borderId="0" xfId="11" applyFont="1" applyFill="1" applyAlignment="1">
      <alignment horizontal="center" vertical="center"/>
    </xf>
    <xf numFmtId="0" fontId="27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168" fontId="22" fillId="0" borderId="1" xfId="1" applyNumberFormat="1" applyFont="1" applyFill="1" applyBorder="1" applyAlignment="1">
      <alignment horizontal="center" vertical="center"/>
    </xf>
    <xf numFmtId="0" fontId="20" fillId="0" borderId="0" xfId="11" applyFont="1" applyFill="1" applyAlignment="1">
      <alignment horizontal="center" vertical="center" wrapText="1"/>
    </xf>
    <xf numFmtId="0" fontId="20" fillId="0" borderId="0" xfId="11" applyFont="1" applyFill="1" applyAlignment="1">
      <alignment horizontal="left"/>
    </xf>
    <xf numFmtId="0" fontId="23" fillId="0" borderId="0" xfId="11" applyFont="1" applyFill="1"/>
    <xf numFmtId="0" fontId="27" fillId="0" borderId="1" xfId="1" applyFont="1" applyFill="1" applyBorder="1" applyAlignment="1">
      <alignment vertical="center" wrapText="1"/>
    </xf>
    <xf numFmtId="0" fontId="23" fillId="0" borderId="0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center" vertical="center" wrapText="1"/>
    </xf>
    <xf numFmtId="0" fontId="33" fillId="0" borderId="0" xfId="18" applyFont="1" applyFill="1" applyAlignment="1">
      <alignment horizontal="center" vertical="center"/>
    </xf>
    <xf numFmtId="0" fontId="48" fillId="0" borderId="0" xfId="18" applyFont="1" applyFill="1" applyAlignment="1">
      <alignment horizontal="center" vertical="center"/>
    </xf>
    <xf numFmtId="0" fontId="33" fillId="0" borderId="0" xfId="18" applyFont="1" applyFill="1" applyAlignment="1">
      <alignment horizontal="center" vertical="center" wrapText="1"/>
    </xf>
    <xf numFmtId="0" fontId="48" fillId="0" borderId="0" xfId="18" applyFont="1" applyFill="1" applyAlignment="1">
      <alignment horizontal="center" vertical="center" wrapText="1"/>
    </xf>
    <xf numFmtId="0" fontId="27" fillId="0" borderId="1" xfId="18" applyFont="1" applyFill="1" applyBorder="1" applyAlignment="1">
      <alignment horizontal="center" vertical="center" wrapText="1"/>
    </xf>
    <xf numFmtId="0" fontId="27" fillId="0" borderId="0" xfId="18" applyFont="1" applyFill="1" applyAlignment="1">
      <alignment horizontal="center" vertical="center" wrapText="1"/>
    </xf>
    <xf numFmtId="0" fontId="29" fillId="0" borderId="0" xfId="18" applyFont="1" applyFill="1" applyAlignment="1">
      <alignment horizontal="center" vertical="center" wrapText="1"/>
    </xf>
    <xf numFmtId="0" fontId="33" fillId="0" borderId="1" xfId="18" applyFont="1" applyFill="1" applyBorder="1" applyAlignment="1">
      <alignment horizontal="center" vertical="center" wrapText="1"/>
    </xf>
    <xf numFmtId="0" fontId="35" fillId="0" borderId="0" xfId="18" applyFont="1" applyFill="1"/>
    <xf numFmtId="4" fontId="35" fillId="0" borderId="0" xfId="18" applyNumberFormat="1" applyFont="1" applyFill="1"/>
    <xf numFmtId="4" fontId="27" fillId="0" borderId="1" xfId="18" applyNumberFormat="1" applyFont="1" applyFill="1" applyBorder="1" applyAlignment="1">
      <alignment horizontal="center" vertical="center" wrapText="1"/>
    </xf>
    <xf numFmtId="4" fontId="33" fillId="0" borderId="1" xfId="18" applyNumberFormat="1" applyFont="1" applyFill="1" applyBorder="1" applyAlignment="1">
      <alignment horizontal="center" vertical="center" wrapText="1"/>
    </xf>
    <xf numFmtId="0" fontId="33" fillId="0" borderId="0" xfId="27" applyFont="1" applyFill="1" applyAlignment="1">
      <alignment horizontal="center" vertical="center"/>
    </xf>
    <xf numFmtId="0" fontId="48" fillId="0" borderId="0" xfId="27" applyFont="1" applyFill="1" applyAlignment="1">
      <alignment horizontal="center" vertical="center"/>
    </xf>
    <xf numFmtId="0" fontId="48" fillId="0" borderId="0" xfId="27" applyFont="1" applyFill="1" applyAlignment="1">
      <alignment horizontal="center" vertical="center" wrapText="1"/>
    </xf>
    <xf numFmtId="0" fontId="57" fillId="0" borderId="0" xfId="27" applyFont="1" applyFill="1" applyAlignment="1">
      <alignment horizontal="center" vertical="center" wrapText="1"/>
    </xf>
    <xf numFmtId="49" fontId="70" fillId="0" borderId="5" xfId="29" applyNumberFormat="1" applyFont="1" applyFill="1" applyBorder="1" applyAlignment="1">
      <alignment horizontal="right" vertical="center" wrapText="1"/>
    </xf>
    <xf numFmtId="49" fontId="70" fillId="0" borderId="7" xfId="29" applyNumberFormat="1" applyFont="1" applyFill="1" applyBorder="1" applyAlignment="1">
      <alignment horizontal="right" vertical="center" wrapText="1"/>
    </xf>
    <xf numFmtId="0" fontId="45" fillId="0" borderId="0" xfId="27" applyFont="1" applyFill="1"/>
    <xf numFmtId="0" fontId="45" fillId="0" borderId="1" xfId="27" applyFont="1" applyFill="1" applyBorder="1"/>
    <xf numFmtId="0" fontId="30" fillId="0" borderId="1" xfId="27" applyFont="1" applyFill="1" applyBorder="1" applyAlignment="1">
      <alignment horizontal="center" vertical="center" wrapText="1"/>
    </xf>
    <xf numFmtId="4" fontId="45" fillId="0" borderId="0" xfId="27" applyNumberFormat="1" applyFont="1" applyFill="1"/>
    <xf numFmtId="0" fontId="45" fillId="0" borderId="0" xfId="18" applyFont="1" applyFill="1" applyAlignment="1">
      <alignment horizontal="center" vertical="center"/>
    </xf>
    <xf numFmtId="0" fontId="45" fillId="0" borderId="0" xfId="18" applyFont="1" applyFill="1" applyAlignment="1">
      <alignment horizontal="center" vertical="center" wrapText="1"/>
    </xf>
    <xf numFmtId="0" fontId="53" fillId="0" borderId="2" xfId="18" applyFont="1" applyFill="1" applyBorder="1" applyAlignment="1">
      <alignment horizontal="center" vertical="center" wrapText="1"/>
    </xf>
    <xf numFmtId="0" fontId="53" fillId="0" borderId="1" xfId="18" applyFont="1" applyFill="1" applyBorder="1" applyAlignment="1">
      <alignment horizontal="center" vertical="center" wrapText="1"/>
    </xf>
    <xf numFmtId="0" fontId="47" fillId="0" borderId="1" xfId="18" applyFont="1" applyFill="1" applyBorder="1" applyAlignment="1">
      <alignment horizontal="center" vertical="center" wrapText="1"/>
    </xf>
    <xf numFmtId="0" fontId="46" fillId="0" borderId="1" xfId="18" applyFont="1" applyFill="1" applyBorder="1" applyAlignment="1">
      <alignment horizontal="center" vertical="center" wrapText="1"/>
    </xf>
    <xf numFmtId="0" fontId="24" fillId="0" borderId="0" xfId="18" applyFont="1" applyFill="1" applyAlignment="1">
      <alignment horizontal="center" vertical="center" wrapText="1"/>
    </xf>
    <xf numFmtId="0" fontId="42" fillId="0" borderId="0" xfId="18" applyFont="1" applyFill="1" applyAlignment="1">
      <alignment horizontal="center" vertical="center" wrapText="1"/>
    </xf>
    <xf numFmtId="0" fontId="38" fillId="0" borderId="0" xfId="18" applyFont="1" applyFill="1" applyAlignment="1">
      <alignment horizontal="center" vertical="center" wrapText="1"/>
    </xf>
    <xf numFmtId="0" fontId="55" fillId="0" borderId="1" xfId="18" applyFont="1" applyFill="1" applyBorder="1" applyAlignment="1">
      <alignment horizontal="center" vertical="center" wrapText="1"/>
    </xf>
    <xf numFmtId="0" fontId="35" fillId="0" borderId="0" xfId="18" applyFont="1" applyFill="1" applyAlignment="1">
      <alignment horizontal="center" vertical="center" wrapText="1"/>
    </xf>
    <xf numFmtId="49" fontId="47" fillId="0" borderId="1" xfId="18" applyNumberFormat="1" applyFont="1" applyFill="1" applyBorder="1" applyAlignment="1">
      <alignment horizontal="center" vertical="center" wrapText="1"/>
    </xf>
    <xf numFmtId="4" fontId="45" fillId="0" borderId="0" xfId="18" applyNumberFormat="1" applyFont="1" applyFill="1" applyAlignment="1">
      <alignment horizontal="center"/>
    </xf>
    <xf numFmtId="4" fontId="53" fillId="0" borderId="1" xfId="18" applyNumberFormat="1" applyFont="1" applyFill="1" applyBorder="1" applyAlignment="1">
      <alignment horizontal="center" vertical="center" wrapText="1"/>
    </xf>
    <xf numFmtId="3" fontId="47" fillId="0" borderId="1" xfId="18" applyNumberFormat="1" applyFont="1" applyFill="1" applyBorder="1" applyAlignment="1">
      <alignment horizontal="center" vertical="center" wrapText="1"/>
    </xf>
    <xf numFmtId="4" fontId="35" fillId="0" borderId="1" xfId="18" applyNumberFormat="1" applyFont="1" applyFill="1" applyBorder="1" applyAlignment="1">
      <alignment horizontal="center" vertical="center" wrapText="1"/>
    </xf>
    <xf numFmtId="4" fontId="46" fillId="0" borderId="1" xfId="18" applyNumberFormat="1" applyFont="1" applyFill="1" applyBorder="1" applyAlignment="1">
      <alignment horizontal="center" vertical="center" wrapText="1"/>
    </xf>
    <xf numFmtId="0" fontId="55" fillId="0" borderId="1" xfId="18" applyFont="1" applyFill="1" applyBorder="1" applyAlignment="1">
      <alignment horizontal="right"/>
    </xf>
    <xf numFmtId="0" fontId="56" fillId="0" borderId="0" xfId="18" applyFont="1" applyFill="1" applyAlignment="1">
      <alignment horizontal="center" vertical="center" wrapText="1"/>
    </xf>
    <xf numFmtId="49" fontId="47" fillId="0" borderId="1" xfId="19" applyNumberFormat="1" applyFont="1" applyFill="1" applyBorder="1" applyAlignment="1">
      <alignment horizontal="center" vertical="center" wrapText="1"/>
    </xf>
    <xf numFmtId="4" fontId="47" fillId="0" borderId="1" xfId="19" applyNumberFormat="1" applyFont="1" applyFill="1" applyBorder="1" applyAlignment="1">
      <alignment horizontal="center" vertical="center" wrapText="1"/>
    </xf>
    <xf numFmtId="0" fontId="57" fillId="0" borderId="0" xfId="18" applyFont="1" applyFill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48" fillId="0" borderId="0" xfId="20" applyFont="1" applyFill="1" applyAlignment="1">
      <alignment horizontal="center" vertical="center"/>
    </xf>
    <xf numFmtId="0" fontId="28" fillId="0" borderId="2" xfId="20" applyFont="1" applyFill="1" applyBorder="1" applyAlignment="1">
      <alignment horizontal="center" vertical="center" wrapText="1"/>
    </xf>
    <xf numFmtId="0" fontId="23" fillId="0" borderId="1" xfId="20" applyFont="1" applyFill="1" applyBorder="1" applyAlignment="1">
      <alignment horizontal="left" vertical="center"/>
    </xf>
    <xf numFmtId="4" fontId="23" fillId="0" borderId="1" xfId="20" applyNumberFormat="1" applyFont="1" applyFill="1" applyBorder="1" applyAlignment="1">
      <alignment horizontal="left" vertical="center"/>
    </xf>
    <xf numFmtId="0" fontId="64" fillId="0" borderId="1" xfId="0" applyFont="1" applyFill="1" applyBorder="1" applyAlignment="1">
      <alignment horizontal="center" vertical="top" wrapText="1"/>
    </xf>
    <xf numFmtId="4" fontId="64" fillId="0" borderId="1" xfId="0" applyNumberFormat="1" applyFont="1" applyFill="1" applyBorder="1" applyAlignment="1">
      <alignment horizontal="center" vertical="top" wrapText="1"/>
    </xf>
    <xf numFmtId="0" fontId="4" fillId="0" borderId="1" xfId="20" applyFont="1" applyFill="1" applyBorder="1" applyAlignment="1">
      <alignment horizontal="left" vertical="center"/>
    </xf>
    <xf numFmtId="2" fontId="17" fillId="0" borderId="1" xfId="20" applyNumberFormat="1" applyFill="1" applyBorder="1" applyAlignment="1">
      <alignment horizontal="left"/>
    </xf>
    <xf numFmtId="0" fontId="17" fillId="0" borderId="1" xfId="20" applyFill="1" applyBorder="1" applyAlignment="1">
      <alignment horizontal="left" vertical="center"/>
    </xf>
    <xf numFmtId="0" fontId="5" fillId="0" borderId="1" xfId="2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center" vertical="top" wrapText="1"/>
    </xf>
    <xf numFmtId="0" fontId="67" fillId="0" borderId="1" xfId="0" applyFont="1" applyFill="1" applyBorder="1" applyAlignment="1">
      <alignment horizontal="center" vertical="top" wrapText="1"/>
    </xf>
    <xf numFmtId="2" fontId="64" fillId="0" borderId="1" xfId="0" applyNumberFormat="1" applyFont="1" applyFill="1" applyBorder="1" applyAlignment="1">
      <alignment horizontal="center" vertical="top"/>
    </xf>
    <xf numFmtId="0" fontId="64" fillId="0" borderId="1" xfId="0" applyFont="1" applyFill="1" applyBorder="1" applyAlignment="1">
      <alignment horizontal="center" vertical="top"/>
    </xf>
    <xf numFmtId="4" fontId="23" fillId="0" borderId="1" xfId="20" applyNumberFormat="1" applyFont="1" applyFill="1" applyBorder="1" applyAlignment="1">
      <alignment horizontal="center" vertical="center"/>
    </xf>
    <xf numFmtId="0" fontId="17" fillId="0" borderId="1" xfId="20" applyFill="1" applyBorder="1" applyAlignment="1">
      <alignment horizontal="center" vertical="center"/>
    </xf>
    <xf numFmtId="0" fontId="17" fillId="0" borderId="1" xfId="20" applyFill="1" applyBorder="1" applyAlignment="1">
      <alignment horizontal="center"/>
    </xf>
    <xf numFmtId="0" fontId="17" fillId="0" borderId="1" xfId="20" applyFill="1" applyBorder="1" applyAlignment="1">
      <alignment horizontal="right"/>
    </xf>
    <xf numFmtId="0" fontId="17" fillId="0" borderId="0" xfId="20" applyFill="1" applyAlignment="1">
      <alignment horizontal="center"/>
    </xf>
    <xf numFmtId="0" fontId="17" fillId="0" borderId="0" xfId="20" applyFill="1" applyAlignment="1">
      <alignment horizontal="left"/>
    </xf>
    <xf numFmtId="0" fontId="23" fillId="0" borderId="1" xfId="20" applyFont="1" applyFill="1" applyBorder="1" applyAlignment="1">
      <alignment horizontal="left"/>
    </xf>
    <xf numFmtId="0" fontId="5" fillId="0" borderId="1" xfId="20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horizontal="center"/>
    </xf>
    <xf numFmtId="2" fontId="23" fillId="0" borderId="1" xfId="20" applyNumberFormat="1" applyFont="1" applyFill="1" applyBorder="1" applyAlignment="1">
      <alignment horizontal="left"/>
    </xf>
    <xf numFmtId="170" fontId="17" fillId="0" borderId="1" xfId="20" applyNumberFormat="1" applyFill="1" applyBorder="1" applyAlignment="1">
      <alignment horizontal="left"/>
    </xf>
    <xf numFmtId="2" fontId="35" fillId="0" borderId="1" xfId="17" applyNumberFormat="1" applyFont="1" applyFill="1" applyBorder="1" applyAlignment="1">
      <alignment horizontal="left"/>
    </xf>
    <xf numFmtId="165" fontId="25" fillId="0" borderId="1" xfId="17" applyNumberFormat="1" applyFont="1" applyFill="1" applyBorder="1" applyAlignment="1">
      <alignment horizontal="left" vertical="center"/>
    </xf>
    <xf numFmtId="0" fontId="28" fillId="0" borderId="2" xfId="20" applyFont="1" applyFill="1" applyBorder="1" applyAlignment="1">
      <alignment horizontal="left" vertical="center" wrapText="1"/>
    </xf>
    <xf numFmtId="4" fontId="28" fillId="0" borderId="2" xfId="20" applyNumberFormat="1" applyFont="1" applyFill="1" applyBorder="1" applyAlignment="1">
      <alignment horizontal="left" vertical="center" wrapText="1"/>
    </xf>
    <xf numFmtId="0" fontId="35" fillId="0" borderId="0" xfId="21" applyFont="1" applyFill="1" applyAlignment="1">
      <alignment horizontal="center" vertical="center"/>
    </xf>
    <xf numFmtId="0" fontId="33" fillId="0" borderId="0" xfId="21" applyFont="1" applyFill="1" applyAlignment="1">
      <alignment horizontal="center" vertical="center"/>
    </xf>
    <xf numFmtId="0" fontId="35" fillId="0" borderId="0" xfId="21" applyFont="1" applyFill="1" applyAlignment="1">
      <alignment horizontal="center" vertical="center" wrapText="1"/>
    </xf>
    <xf numFmtId="0" fontId="33" fillId="0" borderId="0" xfId="21" applyFont="1" applyFill="1" applyAlignment="1">
      <alignment horizontal="center" vertical="center" wrapText="1"/>
    </xf>
    <xf numFmtId="0" fontId="35" fillId="0" borderId="2" xfId="21" applyFont="1" applyFill="1" applyBorder="1" applyAlignment="1">
      <alignment horizontal="center" vertical="center" wrapText="1"/>
    </xf>
    <xf numFmtId="0" fontId="35" fillId="0" borderId="1" xfId="21" applyFont="1" applyFill="1" applyBorder="1" applyAlignment="1">
      <alignment horizontal="center" vertical="center" wrapText="1"/>
    </xf>
    <xf numFmtId="0" fontId="25" fillId="0" borderId="2" xfId="21" applyFont="1" applyFill="1" applyBorder="1" applyAlignment="1">
      <alignment horizontal="center" vertical="center" wrapText="1"/>
    </xf>
    <xf numFmtId="0" fontId="25" fillId="0" borderId="1" xfId="21" applyFont="1" applyFill="1" applyBorder="1" applyAlignment="1">
      <alignment horizontal="center" vertical="center" wrapText="1"/>
    </xf>
    <xf numFmtId="0" fontId="42" fillId="0" borderId="1" xfId="21" applyFont="1" applyFill="1" applyBorder="1" applyAlignment="1">
      <alignment horizontal="center" vertical="center" wrapText="1"/>
    </xf>
    <xf numFmtId="0" fontId="27" fillId="0" borderId="0" xfId="21" applyFont="1" applyFill="1" applyAlignment="1">
      <alignment horizontal="center" vertical="center" wrapText="1"/>
    </xf>
    <xf numFmtId="49" fontId="42" fillId="0" borderId="1" xfId="22" applyNumberFormat="1" applyFont="1" applyFill="1" applyBorder="1" applyAlignment="1">
      <alignment horizontal="center" vertical="center" wrapText="1"/>
    </xf>
    <xf numFmtId="49" fontId="43" fillId="0" borderId="1" xfId="22" applyNumberFormat="1" applyFont="1" applyFill="1" applyBorder="1" applyAlignment="1">
      <alignment horizontal="center" vertical="center" wrapText="1"/>
    </xf>
    <xf numFmtId="0" fontId="42" fillId="0" borderId="0" xfId="21" applyFont="1" applyFill="1" applyAlignment="1">
      <alignment horizontal="center" vertical="center" wrapText="1"/>
    </xf>
    <xf numFmtId="0" fontId="42" fillId="0" borderId="2" xfId="21" applyFont="1" applyFill="1" applyBorder="1" applyAlignment="1">
      <alignment horizontal="center" vertical="center" wrapText="1"/>
    </xf>
    <xf numFmtId="0" fontId="38" fillId="0" borderId="0" xfId="21" applyFont="1" applyFill="1" applyAlignment="1">
      <alignment horizontal="center" vertical="center" wrapText="1"/>
    </xf>
    <xf numFmtId="0" fontId="43" fillId="0" borderId="2" xfId="21" applyFont="1" applyFill="1" applyBorder="1" applyAlignment="1">
      <alignment horizontal="center" vertical="center" wrapText="1"/>
    </xf>
    <xf numFmtId="0" fontId="35" fillId="0" borderId="0" xfId="21" applyFont="1" applyFill="1"/>
    <xf numFmtId="0" fontId="35" fillId="0" borderId="1" xfId="21" applyFont="1" applyFill="1" applyBorder="1" applyAlignment="1">
      <alignment horizontal="center" vertical="center"/>
    </xf>
    <xf numFmtId="0" fontId="25" fillId="0" borderId="1" xfId="21" applyFont="1" applyFill="1" applyBorder="1" applyAlignment="1">
      <alignment horizontal="center" vertical="center"/>
    </xf>
    <xf numFmtId="0" fontId="25" fillId="0" borderId="3" xfId="21" applyFont="1" applyFill="1" applyBorder="1" applyAlignment="1">
      <alignment horizontal="center" vertical="center"/>
    </xf>
    <xf numFmtId="0" fontId="35" fillId="0" borderId="3" xfId="21" applyFont="1" applyFill="1" applyBorder="1" applyAlignment="1">
      <alignment horizontal="center" vertical="center"/>
    </xf>
    <xf numFmtId="0" fontId="45" fillId="0" borderId="1" xfId="21" applyFont="1" applyFill="1" applyBorder="1" applyAlignment="1">
      <alignment horizontal="center" vertical="center" wrapText="1"/>
    </xf>
    <xf numFmtId="0" fontId="48" fillId="0" borderId="0" xfId="21" applyFont="1" applyFill="1" applyAlignment="1">
      <alignment horizontal="center" vertical="center"/>
    </xf>
    <xf numFmtId="0" fontId="48" fillId="0" borderId="0" xfId="21" applyFont="1" applyFill="1" applyAlignment="1">
      <alignment horizontal="center" vertical="center" wrapText="1"/>
    </xf>
    <xf numFmtId="0" fontId="27" fillId="0" borderId="1" xfId="21" applyFont="1" applyFill="1" applyBorder="1" applyAlignment="1">
      <alignment horizontal="center" vertical="center" wrapText="1"/>
    </xf>
    <xf numFmtId="0" fontId="33" fillId="0" borderId="1" xfId="21" applyFont="1" applyFill="1" applyBorder="1" applyAlignment="1">
      <alignment horizontal="center" vertical="center" wrapText="1"/>
    </xf>
    <xf numFmtId="0" fontId="29" fillId="0" borderId="0" xfId="21" applyFont="1" applyFill="1" applyAlignment="1">
      <alignment horizontal="center" vertical="center" wrapText="1"/>
    </xf>
    <xf numFmtId="0" fontId="45" fillId="0" borderId="0" xfId="21" applyFont="1" applyFill="1"/>
    <xf numFmtId="4" fontId="33" fillId="0" borderId="1" xfId="21" applyNumberFormat="1" applyFont="1" applyFill="1" applyBorder="1" applyAlignment="1">
      <alignment horizontal="center" vertical="center" wrapText="1"/>
    </xf>
    <xf numFmtId="0" fontId="23" fillId="0" borderId="0" xfId="21" applyFont="1" applyFill="1" applyAlignment="1">
      <alignment horizontal="center" vertical="center" wrapText="1"/>
    </xf>
    <xf numFmtId="0" fontId="26" fillId="0" borderId="1" xfId="21" applyFont="1" applyFill="1" applyBorder="1" applyAlignment="1">
      <alignment horizontal="left" vertical="center" wrapText="1"/>
    </xf>
    <xf numFmtId="0" fontId="13" fillId="0" borderId="1" xfId="21" applyFont="1" applyFill="1" applyBorder="1" applyAlignment="1">
      <alignment horizontal="left" vertical="center" wrapText="1"/>
    </xf>
    <xf numFmtId="0" fontId="16" fillId="0" borderId="1" xfId="21" applyFont="1" applyFill="1" applyBorder="1" applyAlignment="1">
      <alignment horizontal="center" vertical="center" wrapText="1"/>
    </xf>
    <xf numFmtId="0" fontId="17" fillId="0" borderId="1" xfId="21" applyFill="1" applyBorder="1" applyAlignment="1">
      <alignment horizontal="right" vertical="center" wrapText="1"/>
    </xf>
    <xf numFmtId="0" fontId="13" fillId="0" borderId="1" xfId="21" applyFont="1" applyFill="1" applyBorder="1" applyAlignment="1">
      <alignment horizontal="right" vertical="center" wrapText="1"/>
    </xf>
    <xf numFmtId="0" fontId="16" fillId="0" borderId="1" xfId="21" applyFont="1" applyFill="1" applyBorder="1" applyAlignment="1">
      <alignment horizontal="right" vertical="center" wrapText="1"/>
    </xf>
    <xf numFmtId="0" fontId="16" fillId="0" borderId="1" xfId="21" applyFont="1" applyFill="1" applyBorder="1" applyAlignment="1">
      <alignment horizontal="left" vertical="center" wrapText="1"/>
    </xf>
    <xf numFmtId="0" fontId="17" fillId="0" borderId="1" xfId="21" applyFill="1" applyBorder="1" applyAlignment="1">
      <alignment horizontal="left" vertical="center" wrapText="1"/>
    </xf>
    <xf numFmtId="0" fontId="37" fillId="0" borderId="1" xfId="21" applyFont="1" applyFill="1" applyBorder="1" applyAlignment="1">
      <alignment horizontal="center" vertical="center" wrapText="1"/>
    </xf>
    <xf numFmtId="0" fontId="61" fillId="0" borderId="0" xfId="23" applyFont="1" applyFill="1" applyAlignment="1">
      <alignment horizontal="right" vertical="top"/>
    </xf>
    <xf numFmtId="0" fontId="61" fillId="0" borderId="0" xfId="23" applyFont="1" applyFill="1"/>
    <xf numFmtId="0" fontId="62" fillId="0" borderId="0" xfId="23" applyFont="1" applyFill="1" applyAlignment="1">
      <alignment horizontal="center" vertical="top"/>
    </xf>
    <xf numFmtId="0" fontId="64" fillId="0" borderId="0" xfId="23" applyNumberFormat="1" applyFont="1" applyFill="1" applyAlignment="1">
      <alignment horizontal="center" vertical="top" wrapText="1"/>
    </xf>
    <xf numFmtId="0" fontId="62" fillId="0" borderId="1" xfId="23" applyFont="1" applyFill="1" applyBorder="1" applyAlignment="1">
      <alignment horizontal="center" vertical="center"/>
    </xf>
    <xf numFmtId="0" fontId="62" fillId="0" borderId="1" xfId="23" applyFont="1" applyFill="1" applyBorder="1" applyAlignment="1">
      <alignment horizontal="center" vertical="center" wrapText="1"/>
    </xf>
    <xf numFmtId="0" fontId="51" fillId="0" borderId="1" xfId="23" applyFont="1" applyFill="1" applyBorder="1" applyAlignment="1">
      <alignment horizontal="left" vertical="center"/>
    </xf>
    <xf numFmtId="0" fontId="65" fillId="0" borderId="1" xfId="23" applyFont="1" applyFill="1" applyBorder="1" applyAlignment="1">
      <alignment vertical="top" wrapText="1"/>
    </xf>
    <xf numFmtId="0" fontId="62" fillId="0" borderId="0" xfId="23" applyFont="1" applyFill="1" applyAlignment="1">
      <alignment horizontal="left" vertical="top" wrapText="1"/>
    </xf>
    <xf numFmtId="0" fontId="1" fillId="0" borderId="1" xfId="21" applyFont="1" applyFill="1" applyBorder="1" applyAlignment="1">
      <alignment horizontal="center" vertical="center" wrapText="1"/>
    </xf>
    <xf numFmtId="0" fontId="1" fillId="0" borderId="1" xfId="21" applyFont="1" applyFill="1" applyBorder="1" applyAlignment="1">
      <alignment horizontal="left" vertical="center" wrapText="1"/>
    </xf>
    <xf numFmtId="0" fontId="23" fillId="0" borderId="2" xfId="21" applyFont="1" applyFill="1" applyBorder="1" applyAlignment="1">
      <alignment horizontal="left" vertical="center" wrapText="1"/>
    </xf>
    <xf numFmtId="0" fontId="23" fillId="0" borderId="2" xfId="2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vertical="top" wrapText="1"/>
    </xf>
    <xf numFmtId="0" fontId="68" fillId="0" borderId="1" xfId="0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center" vertical="center" wrapText="1"/>
    </xf>
    <xf numFmtId="0" fontId="27" fillId="0" borderId="5" xfId="33" applyFont="1" applyFill="1" applyBorder="1" applyAlignment="1">
      <alignment vertical="center" wrapText="1"/>
    </xf>
    <xf numFmtId="0" fontId="27" fillId="0" borderId="7" xfId="33" applyFont="1" applyFill="1" applyBorder="1" applyAlignment="1">
      <alignment vertical="center" wrapText="1"/>
    </xf>
    <xf numFmtId="0" fontId="33" fillId="0" borderId="5" xfId="33" applyFont="1" applyFill="1" applyBorder="1" applyAlignment="1">
      <alignment vertical="center" wrapText="1"/>
    </xf>
    <xf numFmtId="0" fontId="33" fillId="0" borderId="7" xfId="33" applyFont="1" applyFill="1" applyBorder="1" applyAlignment="1">
      <alignment vertical="center" wrapText="1"/>
    </xf>
    <xf numFmtId="0" fontId="27" fillId="0" borderId="0" xfId="33" applyFont="1" applyFill="1" applyAlignment="1">
      <alignment horizontal="center" vertical="center" wrapText="1"/>
    </xf>
    <xf numFmtId="0" fontId="27" fillId="0" borderId="10" xfId="33" applyFont="1" applyFill="1" applyBorder="1" applyAlignment="1">
      <alignment horizontal="center" vertical="center" wrapText="1"/>
    </xf>
    <xf numFmtId="0" fontId="27" fillId="0" borderId="12" xfId="33" applyFont="1" applyFill="1" applyBorder="1" applyAlignment="1">
      <alignment horizontal="center" vertical="center" wrapText="1"/>
    </xf>
    <xf numFmtId="0" fontId="27" fillId="0" borderId="11" xfId="33" applyFont="1" applyFill="1" applyBorder="1" applyAlignment="1">
      <alignment horizontal="center" vertical="center" wrapText="1"/>
    </xf>
    <xf numFmtId="0" fontId="27" fillId="0" borderId="13" xfId="33" applyFont="1" applyFill="1" applyBorder="1" applyAlignment="1">
      <alignment horizontal="center" vertical="center" wrapText="1"/>
    </xf>
    <xf numFmtId="4" fontId="27" fillId="0" borderId="11" xfId="33" applyNumberFormat="1" applyFont="1" applyFill="1" applyBorder="1" applyAlignment="1">
      <alignment horizontal="center" vertical="center" wrapText="1"/>
    </xf>
    <xf numFmtId="4" fontId="27" fillId="0" borderId="13" xfId="33" applyNumberFormat="1" applyFont="1" applyFill="1" applyBorder="1" applyAlignment="1">
      <alignment horizontal="center" vertical="center" wrapText="1"/>
    </xf>
    <xf numFmtId="0" fontId="33" fillId="0" borderId="14" xfId="33" applyFont="1" applyFill="1" applyBorder="1" applyAlignment="1">
      <alignment horizontal="center" vertical="center"/>
    </xf>
    <xf numFmtId="0" fontId="30" fillId="0" borderId="1" xfId="14" applyFont="1" applyFill="1" applyBorder="1" applyAlignment="1">
      <alignment horizontal="right" vertical="center" wrapText="1"/>
    </xf>
    <xf numFmtId="0" fontId="19" fillId="0" borderId="1" xfId="14" applyFill="1" applyBorder="1" applyAlignment="1">
      <alignment horizontal="right" vertical="center"/>
    </xf>
    <xf numFmtId="0" fontId="27" fillId="0" borderId="1" xfId="14" applyFont="1" applyFill="1" applyBorder="1" applyAlignment="1">
      <alignment horizontal="left" vertical="center" wrapText="1"/>
    </xf>
    <xf numFmtId="0" fontId="29" fillId="0" borderId="0" xfId="14" applyFont="1" applyFill="1" applyAlignment="1">
      <alignment horizontal="center" vertical="center" wrapText="1"/>
    </xf>
    <xf numFmtId="0" fontId="29" fillId="0" borderId="0" xfId="14" applyFont="1" applyFill="1" applyAlignment="1">
      <alignment horizontal="center" vertical="center"/>
    </xf>
    <xf numFmtId="0" fontId="27" fillId="0" borderId="1" xfId="14" applyFont="1" applyFill="1" applyBorder="1" applyAlignment="1">
      <alignment horizontal="center" vertical="center" wrapText="1"/>
    </xf>
    <xf numFmtId="4" fontId="27" fillId="0" borderId="1" xfId="14" applyNumberFormat="1" applyFont="1" applyFill="1" applyBorder="1" applyAlignment="1">
      <alignment horizontal="center" vertical="center" wrapText="1"/>
    </xf>
    <xf numFmtId="0" fontId="29" fillId="0" borderId="0" xfId="36" applyFont="1" applyFill="1" applyAlignment="1">
      <alignment horizontal="center" vertical="center" wrapText="1"/>
    </xf>
    <xf numFmtId="0" fontId="27" fillId="0" borderId="18" xfId="14" applyFont="1" applyFill="1" applyBorder="1" applyAlignment="1">
      <alignment horizontal="center" vertical="center" wrapText="1"/>
    </xf>
    <xf numFmtId="0" fontId="27" fillId="0" borderId="20" xfId="14" applyFont="1" applyFill="1" applyBorder="1" applyAlignment="1">
      <alignment horizontal="center" vertical="center" wrapText="1"/>
    </xf>
    <xf numFmtId="0" fontId="29" fillId="0" borderId="0" xfId="36" applyFont="1" applyFill="1" applyBorder="1" applyAlignment="1">
      <alignment horizontal="center" vertical="center"/>
    </xf>
    <xf numFmtId="0" fontId="41" fillId="0" borderId="11" xfId="36" applyFont="1" applyFill="1" applyBorder="1" applyAlignment="1">
      <alignment horizontal="center" vertical="center" wrapText="1"/>
    </xf>
    <xf numFmtId="0" fontId="41" fillId="0" borderId="13" xfId="36" applyFont="1" applyFill="1" applyBorder="1" applyAlignment="1">
      <alignment horizontal="center" vertical="center" wrapText="1"/>
    </xf>
    <xf numFmtId="165" fontId="41" fillId="0" borderId="19" xfId="36" applyNumberFormat="1" applyFont="1" applyFill="1" applyBorder="1" applyAlignment="1">
      <alignment horizontal="center" vertical="center" wrapText="1"/>
    </xf>
    <xf numFmtId="165" fontId="41" fillId="0" borderId="21" xfId="36" applyNumberFormat="1" applyFont="1" applyFill="1" applyBorder="1" applyAlignment="1">
      <alignment horizontal="center" vertical="center" wrapText="1"/>
    </xf>
    <xf numFmtId="0" fontId="41" fillId="0" borderId="11" xfId="36" applyFont="1" applyFill="1" applyBorder="1" applyAlignment="1">
      <alignment horizontal="center" vertical="center"/>
    </xf>
    <xf numFmtId="0" fontId="41" fillId="0" borderId="13" xfId="36" applyFont="1" applyFill="1" applyBorder="1" applyAlignment="1">
      <alignment horizontal="center" vertical="center"/>
    </xf>
    <xf numFmtId="0" fontId="29" fillId="0" borderId="0" xfId="17" applyFont="1" applyFill="1" applyAlignment="1">
      <alignment horizontal="center" vertical="center" wrapText="1"/>
    </xf>
    <xf numFmtId="0" fontId="29" fillId="0" borderId="0" xfId="17" applyFont="1" applyFill="1" applyBorder="1" applyAlignment="1">
      <alignment horizontal="center" vertical="center"/>
    </xf>
    <xf numFmtId="0" fontId="41" fillId="0" borderId="11" xfId="17" applyFont="1" applyFill="1" applyBorder="1" applyAlignment="1">
      <alignment horizontal="center" vertical="center" wrapText="1"/>
    </xf>
    <xf numFmtId="0" fontId="41" fillId="0" borderId="13" xfId="17" applyFont="1" applyFill="1" applyBorder="1" applyAlignment="1">
      <alignment horizontal="center" vertical="center" wrapText="1"/>
    </xf>
    <xf numFmtId="165" fontId="41" fillId="0" borderId="19" xfId="17" applyNumberFormat="1" applyFont="1" applyFill="1" applyBorder="1" applyAlignment="1">
      <alignment horizontal="center" vertical="center" wrapText="1"/>
    </xf>
    <xf numFmtId="165" fontId="41" fillId="0" borderId="21" xfId="17" applyNumberFormat="1" applyFont="1" applyFill="1" applyBorder="1" applyAlignment="1">
      <alignment horizontal="center" vertical="center" wrapText="1"/>
    </xf>
    <xf numFmtId="0" fontId="41" fillId="0" borderId="18" xfId="17" applyFont="1" applyFill="1" applyBorder="1" applyAlignment="1">
      <alignment horizontal="center" vertical="center"/>
    </xf>
    <xf numFmtId="0" fontId="41" fillId="0" borderId="20" xfId="17" applyFont="1" applyFill="1" applyBorder="1" applyAlignment="1">
      <alignment horizontal="center" vertical="center"/>
    </xf>
    <xf numFmtId="0" fontId="29" fillId="0" borderId="0" xfId="11" applyFont="1" applyFill="1" applyAlignment="1">
      <alignment horizontal="center" vertical="center" wrapText="1"/>
    </xf>
    <xf numFmtId="0" fontId="27" fillId="0" borderId="2" xfId="1" applyFont="1" applyFill="1" applyBorder="1" applyAlignment="1">
      <alignment horizontal="left" vertical="center" wrapText="1"/>
    </xf>
    <xf numFmtId="0" fontId="29" fillId="0" borderId="0" xfId="11" applyFont="1" applyFill="1" applyBorder="1" applyAlignment="1">
      <alignment horizontal="center" vertical="center" wrapText="1"/>
    </xf>
    <xf numFmtId="0" fontId="41" fillId="0" borderId="11" xfId="11" applyFont="1" applyFill="1" applyBorder="1" applyAlignment="1">
      <alignment horizontal="center" vertical="center" wrapText="1"/>
    </xf>
    <xf numFmtId="0" fontId="41" fillId="0" borderId="13" xfId="11" applyFont="1" applyFill="1" applyBorder="1" applyAlignment="1">
      <alignment horizontal="center" vertical="center" wrapText="1"/>
    </xf>
    <xf numFmtId="165" fontId="41" fillId="0" borderId="19" xfId="11" applyNumberFormat="1" applyFont="1" applyFill="1" applyBorder="1" applyAlignment="1">
      <alignment horizontal="center" vertical="center" wrapText="1"/>
    </xf>
    <xf numFmtId="165" fontId="41" fillId="0" borderId="21" xfId="11" applyNumberFormat="1" applyFont="1" applyFill="1" applyBorder="1" applyAlignment="1">
      <alignment horizontal="center" vertical="center" wrapText="1"/>
    </xf>
    <xf numFmtId="0" fontId="41" fillId="0" borderId="18" xfId="11" applyFont="1" applyFill="1" applyBorder="1" applyAlignment="1">
      <alignment horizontal="center" vertical="center"/>
    </xf>
    <xf numFmtId="0" fontId="41" fillId="0" borderId="20" xfId="11" applyFont="1" applyFill="1" applyBorder="1" applyAlignment="1">
      <alignment horizontal="center" vertical="center"/>
    </xf>
    <xf numFmtId="0" fontId="49" fillId="0" borderId="0" xfId="18" applyFont="1" applyFill="1" applyAlignment="1">
      <alignment horizontal="center" vertical="center"/>
    </xf>
    <xf numFmtId="0" fontId="27" fillId="0" borderId="1" xfId="18" applyFont="1" applyFill="1" applyBorder="1" applyAlignment="1">
      <alignment horizontal="left" vertical="center" wrapText="1"/>
    </xf>
    <xf numFmtId="0" fontId="33" fillId="0" borderId="1" xfId="18" applyFont="1" applyFill="1" applyBorder="1" applyAlignment="1">
      <alignment horizontal="left" vertical="center" wrapText="1"/>
    </xf>
    <xf numFmtId="0" fontId="27" fillId="0" borderId="1" xfId="18" applyFont="1" applyFill="1" applyBorder="1" applyAlignment="1">
      <alignment horizontal="center" vertical="center" wrapText="1"/>
    </xf>
    <xf numFmtId="0" fontId="29" fillId="0" borderId="0" xfId="18" applyFont="1" applyFill="1" applyAlignment="1">
      <alignment horizontal="center" vertical="center" wrapText="1"/>
    </xf>
    <xf numFmtId="4" fontId="27" fillId="0" borderId="1" xfId="18" applyNumberFormat="1" applyFont="1" applyFill="1" applyBorder="1" applyAlignment="1">
      <alignment horizontal="center" vertical="center" wrapText="1"/>
    </xf>
    <xf numFmtId="0" fontId="29" fillId="0" borderId="0" xfId="27" applyFont="1" applyFill="1" applyAlignment="1">
      <alignment horizontal="center" vertical="center" wrapText="1"/>
    </xf>
    <xf numFmtId="0" fontId="29" fillId="0" borderId="4" xfId="27" applyFont="1" applyFill="1" applyBorder="1" applyAlignment="1">
      <alignment horizontal="center" vertical="center"/>
    </xf>
    <xf numFmtId="49" fontId="28" fillId="0" borderId="5" xfId="29" applyNumberFormat="1" applyFont="1" applyFill="1" applyBorder="1" applyAlignment="1">
      <alignment horizontal="left" vertical="center" wrapText="1"/>
    </xf>
    <xf numFmtId="49" fontId="28" fillId="0" borderId="7" xfId="29" applyNumberFormat="1" applyFont="1" applyFill="1" applyBorder="1" applyAlignment="1">
      <alignment horizontal="left" vertical="center" wrapText="1"/>
    </xf>
    <xf numFmtId="49" fontId="70" fillId="0" borderId="5" xfId="29" applyNumberFormat="1" applyFont="1" applyFill="1" applyBorder="1" applyAlignment="1">
      <alignment horizontal="right" vertical="center" wrapText="1"/>
    </xf>
    <xf numFmtId="49" fontId="70" fillId="0" borderId="7" xfId="29" applyNumberFormat="1" applyFont="1" applyFill="1" applyBorder="1" applyAlignment="1">
      <alignment horizontal="right" vertical="center" wrapText="1"/>
    </xf>
    <xf numFmtId="0" fontId="28" fillId="0" borderId="3" xfId="27" applyFont="1" applyFill="1" applyBorder="1" applyAlignment="1">
      <alignment horizontal="center" vertical="center" wrapText="1"/>
    </xf>
    <xf numFmtId="0" fontId="28" fillId="0" borderId="2" xfId="27" applyFont="1" applyFill="1" applyBorder="1" applyAlignment="1">
      <alignment horizontal="center" vertical="center" wrapText="1"/>
    </xf>
    <xf numFmtId="0" fontId="28" fillId="0" borderId="1" xfId="27" applyFont="1" applyFill="1" applyBorder="1" applyAlignment="1">
      <alignment horizontal="center" vertical="center" wrapText="1"/>
    </xf>
    <xf numFmtId="4" fontId="28" fillId="0" borderId="1" xfId="27" applyNumberFormat="1" applyFont="1" applyFill="1" applyBorder="1" applyAlignment="1">
      <alignment horizontal="center" vertical="center" wrapText="1"/>
    </xf>
    <xf numFmtId="49" fontId="46" fillId="0" borderId="1" xfId="18" applyNumberFormat="1" applyFont="1" applyFill="1" applyBorder="1" applyAlignment="1">
      <alignment horizontal="right" vertical="center" wrapText="1"/>
    </xf>
    <xf numFmtId="0" fontId="47" fillId="0" borderId="1" xfId="18" applyFont="1" applyFill="1" applyBorder="1" applyAlignment="1">
      <alignment horizontal="right" vertical="center" wrapText="1"/>
    </xf>
    <xf numFmtId="0" fontId="46" fillId="0" borderId="1" xfId="18" applyFont="1" applyFill="1" applyBorder="1" applyAlignment="1">
      <alignment horizontal="left" vertical="center" wrapText="1"/>
    </xf>
    <xf numFmtId="0" fontId="47" fillId="0" borderId="1" xfId="18" applyFont="1" applyFill="1" applyBorder="1" applyAlignment="1">
      <alignment horizontal="left" vertical="center" wrapText="1"/>
    </xf>
    <xf numFmtId="0" fontId="46" fillId="0" borderId="1" xfId="18" applyFont="1" applyFill="1" applyBorder="1" applyAlignment="1">
      <alignment horizontal="right" vertical="center" wrapText="1"/>
    </xf>
    <xf numFmtId="0" fontId="54" fillId="0" borderId="1" xfId="18" applyFont="1" applyFill="1" applyBorder="1" applyAlignment="1">
      <alignment horizontal="left" vertical="center" wrapText="1"/>
    </xf>
    <xf numFmtId="0" fontId="47" fillId="0" borderId="1" xfId="18" applyFont="1" applyFill="1" applyBorder="1" applyAlignment="1">
      <alignment horizontal="center" vertical="center" wrapText="1"/>
    </xf>
    <xf numFmtId="0" fontId="52" fillId="0" borderId="1" xfId="18" applyFont="1" applyFill="1" applyBorder="1" applyAlignment="1">
      <alignment horizontal="center" vertical="center" wrapText="1"/>
    </xf>
    <xf numFmtId="0" fontId="52" fillId="0" borderId="0" xfId="18" applyFont="1" applyFill="1" applyAlignment="1">
      <alignment horizontal="center" vertical="center" wrapText="1"/>
    </xf>
    <xf numFmtId="0" fontId="52" fillId="0" borderId="18" xfId="18" applyFont="1" applyFill="1" applyBorder="1" applyAlignment="1">
      <alignment horizontal="center" vertical="center" wrapText="1"/>
    </xf>
    <xf numFmtId="0" fontId="52" fillId="0" borderId="20" xfId="18" applyFont="1" applyFill="1" applyBorder="1" applyAlignment="1">
      <alignment horizontal="center" vertical="center" wrapText="1"/>
    </xf>
    <xf numFmtId="0" fontId="52" fillId="0" borderId="11" xfId="18" applyFont="1" applyFill="1" applyBorder="1" applyAlignment="1">
      <alignment horizontal="center" vertical="center" wrapText="1"/>
    </xf>
    <xf numFmtId="0" fontId="52" fillId="0" borderId="13" xfId="18" applyFont="1" applyFill="1" applyBorder="1" applyAlignment="1">
      <alignment horizontal="center" vertical="center" wrapText="1"/>
    </xf>
    <xf numFmtId="4" fontId="52" fillId="0" borderId="19" xfId="18" applyNumberFormat="1" applyFont="1" applyFill="1" applyBorder="1" applyAlignment="1">
      <alignment horizontal="center" vertical="center" wrapText="1"/>
    </xf>
    <xf numFmtId="4" fontId="52" fillId="0" borderId="21" xfId="18" applyNumberFormat="1" applyFont="1" applyFill="1" applyBorder="1" applyAlignment="1">
      <alignment horizontal="center" vertical="center" wrapText="1"/>
    </xf>
    <xf numFmtId="0" fontId="52" fillId="0" borderId="2" xfId="18" applyFont="1" applyFill="1" applyBorder="1" applyAlignment="1">
      <alignment horizontal="left" vertical="center" wrapText="1"/>
    </xf>
    <xf numFmtId="0" fontId="52" fillId="0" borderId="14" xfId="18" applyFont="1" applyFill="1" applyBorder="1" applyAlignment="1">
      <alignment horizontal="center" vertical="center" wrapText="1"/>
    </xf>
    <xf numFmtId="49" fontId="46" fillId="0" borderId="1" xfId="19" applyNumberFormat="1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52" fillId="0" borderId="1" xfId="18" applyFont="1" applyFill="1" applyBorder="1" applyAlignment="1">
      <alignment horizontal="left" vertical="center" wrapText="1"/>
    </xf>
    <xf numFmtId="4" fontId="52" fillId="0" borderId="1" xfId="18" applyNumberFormat="1" applyFont="1" applyFill="1" applyBorder="1" applyAlignment="1">
      <alignment horizontal="center" vertical="center" wrapText="1"/>
    </xf>
    <xf numFmtId="0" fontId="52" fillId="0" borderId="0" xfId="18" applyFont="1" applyFill="1" applyBorder="1" applyAlignment="1">
      <alignment horizontal="center" vertical="center"/>
    </xf>
    <xf numFmtId="0" fontId="26" fillId="0" borderId="1" xfId="20" applyFont="1" applyFill="1" applyBorder="1" applyAlignment="1">
      <alignment horizontal="left" wrapText="1"/>
    </xf>
    <xf numFmtId="49" fontId="28" fillId="0" borderId="1" xfId="29" applyNumberFormat="1" applyFont="1" applyFill="1" applyBorder="1" applyAlignment="1">
      <alignment horizontal="left" vertical="center" wrapText="1"/>
    </xf>
    <xf numFmtId="49" fontId="70" fillId="0" borderId="1" xfId="29" applyNumberFormat="1" applyFont="1" applyFill="1" applyBorder="1" applyAlignment="1">
      <alignment horizontal="right" vertical="center" wrapText="1"/>
    </xf>
    <xf numFmtId="0" fontId="23" fillId="0" borderId="1" xfId="20" applyFont="1" applyFill="1" applyBorder="1" applyAlignment="1">
      <alignment horizontal="left" wrapText="1"/>
    </xf>
    <xf numFmtId="0" fontId="26" fillId="0" borderId="1" xfId="20" applyFont="1" applyFill="1" applyBorder="1" applyAlignment="1">
      <alignment horizontal="left"/>
    </xf>
    <xf numFmtId="0" fontId="17" fillId="0" borderId="1" xfId="20" applyFill="1" applyBorder="1" applyAlignment="1">
      <alignment horizontal="left"/>
    </xf>
    <xf numFmtId="0" fontId="66" fillId="0" borderId="1" xfId="0" applyFont="1" applyFill="1" applyBorder="1" applyAlignment="1">
      <alignment horizontal="left" vertical="top" wrapText="1"/>
    </xf>
    <xf numFmtId="0" fontId="64" fillId="0" borderId="1" xfId="0" applyFont="1" applyFill="1" applyBorder="1" applyAlignment="1">
      <alignment horizontal="left" vertical="top" wrapText="1"/>
    </xf>
    <xf numFmtId="0" fontId="72" fillId="0" borderId="2" xfId="20" applyFont="1" applyFill="1" applyBorder="1" applyAlignment="1">
      <alignment horizontal="center" vertical="center" wrapText="1"/>
    </xf>
    <xf numFmtId="0" fontId="72" fillId="0" borderId="1" xfId="20" applyFont="1" applyFill="1" applyBorder="1" applyAlignment="1">
      <alignment horizontal="center" vertical="center" wrapText="1"/>
    </xf>
    <xf numFmtId="0" fontId="23" fillId="0" borderId="1" xfId="20" applyFont="1" applyFill="1" applyBorder="1" applyAlignment="1">
      <alignment horizontal="left" vertical="center" wrapText="1"/>
    </xf>
    <xf numFmtId="0" fontId="28" fillId="0" borderId="18" xfId="20" applyFont="1" applyFill="1" applyBorder="1" applyAlignment="1">
      <alignment horizontal="center" vertical="center" wrapText="1"/>
    </xf>
    <xf numFmtId="0" fontId="28" fillId="0" borderId="20" xfId="20" applyFont="1" applyFill="1" applyBorder="1" applyAlignment="1">
      <alignment horizontal="center" vertical="center" wrapText="1"/>
    </xf>
    <xf numFmtId="0" fontId="28" fillId="0" borderId="11" xfId="20" applyFont="1" applyFill="1" applyBorder="1" applyAlignment="1">
      <alignment horizontal="left" vertical="center" wrapText="1"/>
    </xf>
    <xf numFmtId="0" fontId="28" fillId="0" borderId="13" xfId="20" applyFont="1" applyFill="1" applyBorder="1" applyAlignment="1">
      <alignment horizontal="left" vertical="center" wrapText="1"/>
    </xf>
    <xf numFmtId="4" fontId="28" fillId="0" borderId="19" xfId="20" applyNumberFormat="1" applyFont="1" applyFill="1" applyBorder="1" applyAlignment="1">
      <alignment horizontal="left" vertical="center" wrapText="1"/>
    </xf>
    <xf numFmtId="4" fontId="28" fillId="0" borderId="21" xfId="20" applyNumberFormat="1" applyFont="1" applyFill="1" applyBorder="1" applyAlignment="1">
      <alignment horizontal="left" vertical="center" wrapText="1"/>
    </xf>
    <xf numFmtId="0" fontId="52" fillId="0" borderId="0" xfId="20" applyFont="1" applyFill="1" applyAlignment="1">
      <alignment horizontal="center" vertical="center" wrapText="1"/>
    </xf>
    <xf numFmtId="0" fontId="29" fillId="0" borderId="0" xfId="20" applyFont="1" applyFill="1" applyBorder="1" applyAlignment="1">
      <alignment horizontal="center" vertical="center"/>
    </xf>
    <xf numFmtId="0" fontId="23" fillId="0" borderId="1" xfId="20" applyFont="1" applyFill="1" applyBorder="1" applyAlignment="1">
      <alignment horizontal="left"/>
    </xf>
    <xf numFmtId="0" fontId="50" fillId="0" borderId="0" xfId="21" applyFont="1" applyFill="1" applyAlignment="1">
      <alignment horizontal="center" vertical="center" wrapText="1"/>
    </xf>
    <xf numFmtId="0" fontId="35" fillId="0" borderId="3" xfId="21" applyFont="1" applyFill="1" applyBorder="1" applyAlignment="1">
      <alignment horizontal="center" vertical="center" wrapText="1"/>
    </xf>
    <xf numFmtId="0" fontId="35" fillId="0" borderId="2" xfId="21" applyFont="1" applyFill="1" applyBorder="1" applyAlignment="1">
      <alignment horizontal="center" vertical="center" wrapText="1"/>
    </xf>
    <xf numFmtId="0" fontId="35" fillId="0" borderId="1" xfId="21" applyFont="1" applyFill="1" applyBorder="1" applyAlignment="1">
      <alignment vertical="center" wrapText="1"/>
    </xf>
    <xf numFmtId="0" fontId="35" fillId="0" borderId="1" xfId="21" applyFont="1" applyFill="1" applyBorder="1" applyAlignment="1">
      <alignment horizontal="center" vertical="center" wrapText="1"/>
    </xf>
    <xf numFmtId="4" fontId="35" fillId="0" borderId="1" xfId="21" applyNumberFormat="1" applyFont="1" applyFill="1" applyBorder="1" applyAlignment="1">
      <alignment horizontal="center" vertical="center" wrapText="1"/>
    </xf>
    <xf numFmtId="0" fontId="50" fillId="0" borderId="0" xfId="21" applyFont="1" applyFill="1" applyAlignment="1">
      <alignment horizontal="center" vertical="center"/>
    </xf>
    <xf numFmtId="49" fontId="42" fillId="0" borderId="5" xfId="22" applyNumberFormat="1" applyFont="1" applyFill="1" applyBorder="1" applyAlignment="1">
      <alignment vertical="center" wrapText="1"/>
    </xf>
    <xf numFmtId="49" fontId="42" fillId="0" borderId="7" xfId="22" applyNumberFormat="1" applyFont="1" applyFill="1" applyBorder="1" applyAlignment="1">
      <alignment vertical="center" wrapText="1"/>
    </xf>
    <xf numFmtId="49" fontId="43" fillId="0" borderId="5" xfId="22" applyNumberFormat="1" applyFont="1" applyFill="1" applyBorder="1" applyAlignment="1">
      <alignment wrapText="1"/>
    </xf>
    <xf numFmtId="49" fontId="43" fillId="0" borderId="7" xfId="22" applyNumberFormat="1" applyFont="1" applyFill="1" applyBorder="1" applyAlignment="1">
      <alignment wrapText="1"/>
    </xf>
    <xf numFmtId="49" fontId="42" fillId="0" borderId="5" xfId="22" applyNumberFormat="1" applyFont="1" applyFill="1" applyBorder="1" applyAlignment="1">
      <alignment vertical="top" wrapText="1"/>
    </xf>
    <xf numFmtId="49" fontId="42" fillId="0" borderId="7" xfId="22" applyNumberFormat="1" applyFont="1" applyFill="1" applyBorder="1" applyAlignment="1">
      <alignment vertical="top" wrapText="1"/>
    </xf>
    <xf numFmtId="49" fontId="43" fillId="0" borderId="5" xfId="22" applyNumberFormat="1" applyFont="1" applyFill="1" applyBorder="1" applyAlignment="1">
      <alignment vertical="top" wrapText="1"/>
    </xf>
    <xf numFmtId="49" fontId="43" fillId="0" borderId="7" xfId="22" applyNumberFormat="1" applyFont="1" applyFill="1" applyBorder="1" applyAlignment="1">
      <alignment vertical="top" wrapText="1"/>
    </xf>
    <xf numFmtId="0" fontId="25" fillId="0" borderId="5" xfId="21" applyFont="1" applyFill="1" applyBorder="1" applyAlignment="1">
      <alignment vertical="center" wrapText="1"/>
    </xf>
    <xf numFmtId="0" fontId="25" fillId="0" borderId="7" xfId="21" applyFont="1" applyFill="1" applyBorder="1" applyAlignment="1">
      <alignment vertical="center" wrapText="1"/>
    </xf>
    <xf numFmtId="0" fontId="42" fillId="0" borderId="5" xfId="21" applyFont="1" applyFill="1" applyBorder="1" applyAlignment="1">
      <alignment vertical="center" wrapText="1"/>
    </xf>
    <xf numFmtId="0" fontId="42" fillId="0" borderId="7" xfId="21" applyFont="1" applyFill="1" applyBorder="1" applyAlignment="1">
      <alignment vertical="center" wrapText="1"/>
    </xf>
    <xf numFmtId="49" fontId="25" fillId="0" borderId="5" xfId="22" applyNumberFormat="1" applyFont="1" applyFill="1" applyBorder="1" applyAlignment="1">
      <alignment vertical="center" wrapText="1"/>
    </xf>
    <xf numFmtId="49" fontId="25" fillId="0" borderId="7" xfId="22" applyNumberFormat="1" applyFont="1" applyFill="1" applyBorder="1" applyAlignment="1">
      <alignment vertical="center" wrapText="1"/>
    </xf>
    <xf numFmtId="49" fontId="43" fillId="0" borderId="5" xfId="22" applyNumberFormat="1" applyFont="1" applyFill="1" applyBorder="1" applyAlignment="1">
      <alignment vertical="center" wrapText="1"/>
    </xf>
    <xf numFmtId="49" fontId="43" fillId="0" borderId="7" xfId="22" applyNumberFormat="1" applyFont="1" applyFill="1" applyBorder="1" applyAlignment="1">
      <alignment vertical="center" wrapText="1"/>
    </xf>
    <xf numFmtId="49" fontId="35" fillId="0" borderId="5" xfId="22" applyNumberFormat="1" applyFont="1" applyFill="1" applyBorder="1" applyAlignment="1">
      <alignment vertical="top" wrapText="1"/>
    </xf>
    <xf numFmtId="49" fontId="35" fillId="0" borderId="7" xfId="22" applyNumberFormat="1" applyFont="1" applyFill="1" applyBorder="1" applyAlignment="1">
      <alignment vertical="top" wrapText="1"/>
    </xf>
    <xf numFmtId="49" fontId="42" fillId="0" borderId="6" xfId="22" applyNumberFormat="1" applyFont="1" applyFill="1" applyBorder="1" applyAlignment="1">
      <alignment vertical="center" wrapText="1"/>
    </xf>
    <xf numFmtId="49" fontId="35" fillId="0" borderId="5" xfId="22" applyNumberFormat="1" applyFont="1" applyFill="1" applyBorder="1" applyAlignment="1">
      <alignment vertical="center" wrapText="1"/>
    </xf>
    <xf numFmtId="49" fontId="35" fillId="0" borderId="7" xfId="22" applyNumberFormat="1" applyFont="1" applyFill="1" applyBorder="1" applyAlignment="1">
      <alignment vertical="center" wrapText="1"/>
    </xf>
    <xf numFmtId="0" fontId="42" fillId="0" borderId="5" xfId="23" applyFont="1" applyFill="1" applyBorder="1" applyAlignment="1">
      <alignment vertical="center" wrapText="1"/>
    </xf>
    <xf numFmtId="0" fontId="25" fillId="0" borderId="5" xfId="23" applyFont="1" applyFill="1" applyBorder="1" applyAlignment="1">
      <alignment vertical="center" wrapText="1"/>
    </xf>
    <xf numFmtId="0" fontId="25" fillId="0" borderId="5" xfId="23" applyFont="1" applyFill="1" applyBorder="1" applyAlignment="1">
      <alignment vertical="top" wrapText="1"/>
    </xf>
    <xf numFmtId="0" fontId="25" fillId="0" borderId="7" xfId="21" applyFont="1" applyFill="1" applyBorder="1" applyAlignment="1">
      <alignment vertical="top" wrapText="1"/>
    </xf>
    <xf numFmtId="0" fontId="42" fillId="0" borderId="7" xfId="23" applyFont="1" applyFill="1" applyBorder="1" applyAlignment="1">
      <alignment vertical="center" wrapText="1"/>
    </xf>
    <xf numFmtId="0" fontId="42" fillId="0" borderId="5" xfId="23" applyFont="1" applyFill="1" applyBorder="1" applyAlignment="1">
      <alignment vertical="top" wrapText="1"/>
    </xf>
    <xf numFmtId="0" fontId="42" fillId="0" borderId="7" xfId="21" applyFont="1" applyFill="1" applyBorder="1" applyAlignment="1">
      <alignment vertical="top" wrapText="1"/>
    </xf>
    <xf numFmtId="0" fontId="35" fillId="0" borderId="5" xfId="21" applyFont="1" applyFill="1" applyBorder="1" applyAlignment="1">
      <alignment vertical="center" wrapText="1"/>
    </xf>
    <xf numFmtId="0" fontId="35" fillId="0" borderId="7" xfId="21" applyFont="1" applyFill="1" applyBorder="1" applyAlignment="1">
      <alignment vertical="center" wrapText="1"/>
    </xf>
    <xf numFmtId="0" fontId="25" fillId="0" borderId="7" xfId="23" applyFont="1" applyFill="1" applyBorder="1" applyAlignment="1">
      <alignment vertical="center" wrapText="1"/>
    </xf>
    <xf numFmtId="0" fontId="42" fillId="0" borderId="7" xfId="23" applyFont="1" applyFill="1" applyBorder="1" applyAlignment="1">
      <alignment vertical="top" wrapText="1"/>
    </xf>
    <xf numFmtId="0" fontId="35" fillId="0" borderId="5" xfId="23" applyFont="1" applyFill="1" applyBorder="1" applyAlignment="1">
      <alignment vertical="top" wrapText="1"/>
    </xf>
    <xf numFmtId="0" fontId="35" fillId="0" borderId="7" xfId="21" applyFont="1" applyFill="1" applyBorder="1" applyAlignment="1">
      <alignment vertical="top" wrapText="1"/>
    </xf>
    <xf numFmtId="0" fontId="25" fillId="0" borderId="1" xfId="23" applyFont="1" applyFill="1" applyBorder="1" applyAlignment="1">
      <alignment vertical="top" wrapText="1"/>
    </xf>
    <xf numFmtId="0" fontId="25" fillId="0" borderId="1" xfId="21" applyFont="1" applyFill="1" applyBorder="1" applyAlignment="1">
      <alignment vertical="top" wrapText="1"/>
    </xf>
    <xf numFmtId="49" fontId="42" fillId="0" borderId="15" xfId="22" applyNumberFormat="1" applyFont="1" applyFill="1" applyBorder="1" applyAlignment="1">
      <alignment vertical="center" wrapText="1"/>
    </xf>
    <xf numFmtId="0" fontId="42" fillId="0" borderId="16" xfId="21" applyFont="1" applyFill="1" applyBorder="1" applyAlignment="1">
      <alignment vertical="center" wrapText="1"/>
    </xf>
    <xf numFmtId="0" fontId="35" fillId="0" borderId="5" xfId="23" applyFont="1" applyFill="1" applyBorder="1" applyAlignment="1">
      <alignment vertical="center" wrapText="1"/>
    </xf>
    <xf numFmtId="0" fontId="42" fillId="0" borderId="1" xfId="23" applyFont="1" applyFill="1" applyBorder="1" applyAlignment="1">
      <alignment vertical="top" wrapText="1"/>
    </xf>
    <xf numFmtId="0" fontId="42" fillId="0" borderId="1" xfId="21" applyFont="1" applyFill="1" applyBorder="1" applyAlignment="1">
      <alignment vertical="top" wrapText="1"/>
    </xf>
    <xf numFmtId="0" fontId="27" fillId="0" borderId="1" xfId="21" applyFont="1" applyFill="1" applyBorder="1" applyAlignment="1">
      <alignment horizontal="center" vertical="center" wrapText="1"/>
    </xf>
    <xf numFmtId="4" fontId="27" fillId="0" borderId="1" xfId="21" applyNumberFormat="1" applyFont="1" applyFill="1" applyBorder="1" applyAlignment="1">
      <alignment horizontal="center" vertical="center" wrapText="1"/>
    </xf>
    <xf numFmtId="0" fontId="59" fillId="0" borderId="0" xfId="21" applyFont="1" applyFill="1" applyAlignment="1">
      <alignment horizontal="center" vertical="center" wrapText="1"/>
    </xf>
    <xf numFmtId="0" fontId="27" fillId="0" borderId="4" xfId="21" applyFont="1" applyFill="1" applyBorder="1" applyAlignment="1">
      <alignment horizontal="center" vertical="center"/>
    </xf>
    <xf numFmtId="0" fontId="27" fillId="0" borderId="1" xfId="21" applyFont="1" applyFill="1" applyBorder="1" applyAlignment="1">
      <alignment horizontal="left" vertical="center" wrapText="1"/>
    </xf>
    <xf numFmtId="0" fontId="33" fillId="0" borderId="1" xfId="21" applyFont="1" applyFill="1" applyBorder="1" applyAlignment="1">
      <alignment horizontal="left" vertical="center" wrapText="1"/>
    </xf>
    <xf numFmtId="0" fontId="23" fillId="0" borderId="0" xfId="21" applyFont="1" applyFill="1" applyAlignment="1">
      <alignment horizontal="center" vertical="center" wrapText="1"/>
    </xf>
    <xf numFmtId="0" fontId="23" fillId="0" borderId="1" xfId="21" applyFont="1" applyFill="1" applyBorder="1" applyAlignment="1">
      <alignment horizontal="center" vertical="center" wrapText="1"/>
    </xf>
    <xf numFmtId="0" fontId="60" fillId="0" borderId="0" xfId="21" applyFont="1" applyFill="1" applyAlignment="1">
      <alignment horizontal="center" vertical="center" wrapText="1"/>
    </xf>
    <xf numFmtId="0" fontId="50" fillId="0" borderId="4" xfId="21" applyFont="1" applyFill="1" applyBorder="1" applyAlignment="1">
      <alignment horizontal="center" vertical="center" wrapText="1"/>
    </xf>
    <xf numFmtId="0" fontId="36" fillId="0" borderId="1" xfId="23" applyFont="1" applyFill="1" applyBorder="1" applyAlignment="1">
      <alignment horizontal="center" vertical="center" wrapText="1"/>
    </xf>
    <xf numFmtId="0" fontId="62" fillId="0" borderId="1" xfId="23" applyFont="1" applyFill="1" applyBorder="1" applyAlignment="1">
      <alignment horizontal="center" vertical="center" wrapText="1"/>
    </xf>
    <xf numFmtId="0" fontId="36" fillId="0" borderId="1" xfId="23" applyFont="1" applyFill="1" applyBorder="1" applyAlignment="1">
      <alignment horizontal="center" vertical="center"/>
    </xf>
    <xf numFmtId="0" fontId="61" fillId="0" borderId="1" xfId="23" applyNumberFormat="1" applyFont="1" applyFill="1" applyBorder="1" applyAlignment="1">
      <alignment horizontal="center" vertical="center" wrapText="1"/>
    </xf>
    <xf numFmtId="0" fontId="63" fillId="0" borderId="4" xfId="23" applyFont="1" applyFill="1" applyBorder="1" applyAlignment="1">
      <alignment horizontal="center" vertical="top"/>
    </xf>
  </cellXfs>
  <cellStyles count="44">
    <cellStyle name="КС-3" xfId="8" xr:uid="{00000000-0005-0000-0000-000000000000}"/>
    <cellStyle name="Обычный" xfId="0" builtinId="0"/>
    <cellStyle name="Обычный 10" xfId="26" xr:uid="{00000000-0005-0000-0000-000002000000}"/>
    <cellStyle name="Обычный 11" xfId="27" xr:uid="{00000000-0005-0000-0000-000003000000}"/>
    <cellStyle name="Обычный 12" xfId="42" xr:uid="{00000000-0005-0000-0000-000004000000}"/>
    <cellStyle name="Обычный 2" xfId="1" xr:uid="{00000000-0005-0000-0000-000005000000}"/>
    <cellStyle name="Обычный 2 2" xfId="23" xr:uid="{00000000-0005-0000-0000-000006000000}"/>
    <cellStyle name="Обычный 2 2 2 2 2" xfId="43" xr:uid="{00000000-0005-0000-0000-000007000000}"/>
    <cellStyle name="Обычный 2 3" xfId="39" xr:uid="{00000000-0005-0000-0000-000008000000}"/>
    <cellStyle name="Обычный 3" xfId="4" xr:uid="{00000000-0005-0000-0000-000009000000}"/>
    <cellStyle name="Обычный 3 2" xfId="33" xr:uid="{00000000-0005-0000-0000-00000A000000}"/>
    <cellStyle name="Обычный 4" xfId="7" xr:uid="{00000000-0005-0000-0000-00000B000000}"/>
    <cellStyle name="Обычный 5" xfId="2" xr:uid="{00000000-0005-0000-0000-00000C000000}"/>
    <cellStyle name="Обычный 5 2" xfId="5" xr:uid="{00000000-0005-0000-0000-00000D000000}"/>
    <cellStyle name="Обычный 5 2 2" xfId="34" xr:uid="{00000000-0005-0000-0000-00000E000000}"/>
    <cellStyle name="Обычный 5 3" xfId="12" xr:uid="{00000000-0005-0000-0000-00000F000000}"/>
    <cellStyle name="Обычный 5 3 2" xfId="40" xr:uid="{00000000-0005-0000-0000-000010000000}"/>
    <cellStyle name="Обычный 5 4" xfId="15" xr:uid="{00000000-0005-0000-0000-000011000000}"/>
    <cellStyle name="Обычный 5 5" xfId="18" xr:uid="{00000000-0005-0000-0000-000012000000}"/>
    <cellStyle name="Обычный 5 5 2" xfId="37" xr:uid="{00000000-0005-0000-0000-000013000000}"/>
    <cellStyle name="Обычный 5 6" xfId="21" xr:uid="{00000000-0005-0000-0000-000014000000}"/>
    <cellStyle name="Обычный 5 7" xfId="28" xr:uid="{00000000-0005-0000-0000-000015000000}"/>
    <cellStyle name="Обычный 6" xfId="11" xr:uid="{00000000-0005-0000-0000-000016000000}"/>
    <cellStyle name="Обычный 6 2" xfId="38" xr:uid="{00000000-0005-0000-0000-000017000000}"/>
    <cellStyle name="Обычный 7" xfId="14" xr:uid="{00000000-0005-0000-0000-000018000000}"/>
    <cellStyle name="Обычный 8" xfId="17" xr:uid="{00000000-0005-0000-0000-000019000000}"/>
    <cellStyle name="Обычный 8 2" xfId="36" xr:uid="{00000000-0005-0000-0000-00001A000000}"/>
    <cellStyle name="Обычный 9" xfId="20" xr:uid="{00000000-0005-0000-0000-00001B000000}"/>
    <cellStyle name="Процентный 2" xfId="24" xr:uid="{00000000-0005-0000-0000-00001C000000}"/>
    <cellStyle name="Титул" xfId="9" xr:uid="{00000000-0005-0000-0000-00001D000000}"/>
    <cellStyle name="Финансовый 2" xfId="3" xr:uid="{00000000-0005-0000-0000-00001F000000}"/>
    <cellStyle name="Финансовый 2 2" xfId="25" xr:uid="{00000000-0005-0000-0000-000020000000}"/>
    <cellStyle name="Финансовый 3" xfId="6" xr:uid="{00000000-0005-0000-0000-000021000000}"/>
    <cellStyle name="Финансовый 3 2" xfId="35" xr:uid="{00000000-0005-0000-0000-000022000000}"/>
    <cellStyle name="Финансовый 4" xfId="10" xr:uid="{00000000-0005-0000-0000-000023000000}"/>
    <cellStyle name="Финансовый 4 2" xfId="30" xr:uid="{00000000-0005-0000-0000-000024000000}"/>
    <cellStyle name="Финансовый 4 3" xfId="31" xr:uid="{00000000-0005-0000-0000-000025000000}"/>
    <cellStyle name="Финансовый 4 4" xfId="32" xr:uid="{00000000-0005-0000-0000-000026000000}"/>
    <cellStyle name="Финансовый 5" xfId="13" xr:uid="{00000000-0005-0000-0000-000027000000}"/>
    <cellStyle name="Финансовый 6" xfId="16" xr:uid="{00000000-0005-0000-0000-000028000000}"/>
    <cellStyle name="Финансовый 7" xfId="19" xr:uid="{00000000-0005-0000-0000-000029000000}"/>
    <cellStyle name="Финансовый 7 2" xfId="41" xr:uid="{00000000-0005-0000-0000-00002A000000}"/>
    <cellStyle name="Финансовый 8" xfId="22" xr:uid="{00000000-0005-0000-0000-00002B000000}"/>
    <cellStyle name="Финансовый 9" xfId="29" xr:uid="{00000000-0005-0000-0000-00002C000000}"/>
  </cellStyles>
  <dxfs count="0"/>
  <tableStyles count="0" defaultTableStyle="TableStyleMedium2" defaultPivotStyle="PivotStyleLight16"/>
  <colors>
    <mruColors>
      <color rgb="FF00FFFF"/>
      <color rgb="FFFF3399"/>
      <color rgb="FFFF33CC"/>
      <color rgb="FF31CF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447675</xdr:colOff>
      <xdr:row>30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FCDF8BB-D67C-4BAE-A2FD-3569E5EA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20475" cy="571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447675</xdr:colOff>
      <xdr:row>30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A37F35C-D544-4104-A34B-B945D14E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20475" cy="571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81DC1-3F8E-44FD-95F7-E6FF64AB8163}">
  <sheetPr>
    <tabColor rgb="FF00FFFF"/>
  </sheetPr>
  <dimension ref="B31:B33"/>
  <sheetViews>
    <sheetView workbookViewId="0">
      <selection activeCell="K31" sqref="K31"/>
    </sheetView>
  </sheetViews>
  <sheetFormatPr defaultRowHeight="15" x14ac:dyDescent="0.25"/>
  <sheetData>
    <row r="31" spans="2:2" x14ac:dyDescent="0.25">
      <c r="B31" t="s">
        <v>870</v>
      </c>
    </row>
    <row r="33" spans="2:2" x14ac:dyDescent="0.25">
      <c r="B33" t="s">
        <v>871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F41"/>
  <sheetViews>
    <sheetView zoomScaleNormal="100" workbookViewId="0">
      <pane ySplit="4" topLeftCell="A5" activePane="bottomLeft" state="frozen"/>
      <selection pane="bottomLeft" activeCell="J8" sqref="J8"/>
    </sheetView>
  </sheetViews>
  <sheetFormatPr defaultRowHeight="18.75" x14ac:dyDescent="0.3"/>
  <cols>
    <col min="1" max="1" width="3.28515625" style="51" customWidth="1"/>
    <col min="2" max="2" width="6.140625" style="51" customWidth="1"/>
    <col min="3" max="3" width="10.28515625" style="51" customWidth="1"/>
    <col min="4" max="4" width="34.85546875" style="51" customWidth="1"/>
    <col min="5" max="5" width="9.28515625" style="51" customWidth="1"/>
    <col min="6" max="6" width="15.7109375" style="194" customWidth="1"/>
    <col min="7" max="231" width="9.140625" style="51"/>
    <col min="232" max="232" width="3.140625" style="51" customWidth="1"/>
    <col min="233" max="233" width="6.140625" style="51" customWidth="1"/>
    <col min="234" max="234" width="10.28515625" style="51" customWidth="1"/>
    <col min="235" max="235" width="34.140625" style="51" customWidth="1"/>
    <col min="236" max="236" width="9.28515625" style="51" customWidth="1"/>
    <col min="237" max="238" width="12.140625" style="51" customWidth="1"/>
    <col min="239" max="249" width="9.85546875" style="51" customWidth="1"/>
    <col min="250" max="250" width="11.5703125" style="51" customWidth="1"/>
    <col min="251" max="251" width="12.7109375" style="51" customWidth="1"/>
    <col min="252" max="252" width="9.140625" style="51"/>
    <col min="253" max="253" width="11.42578125" style="51" customWidth="1"/>
    <col min="254" max="487" width="9.140625" style="51"/>
    <col min="488" max="488" width="3.140625" style="51" customWidth="1"/>
    <col min="489" max="489" width="6.140625" style="51" customWidth="1"/>
    <col min="490" max="490" width="10.28515625" style="51" customWidth="1"/>
    <col min="491" max="491" width="34.140625" style="51" customWidth="1"/>
    <col min="492" max="492" width="9.28515625" style="51" customWidth="1"/>
    <col min="493" max="494" width="12.140625" style="51" customWidth="1"/>
    <col min="495" max="505" width="9.85546875" style="51" customWidth="1"/>
    <col min="506" max="506" width="11.5703125" style="51" customWidth="1"/>
    <col min="507" max="507" width="12.7109375" style="51" customWidth="1"/>
    <col min="508" max="508" width="9.140625" style="51"/>
    <col min="509" max="509" width="11.42578125" style="51" customWidth="1"/>
    <col min="510" max="743" width="9.140625" style="51"/>
    <col min="744" max="744" width="3.140625" style="51" customWidth="1"/>
    <col min="745" max="745" width="6.140625" style="51" customWidth="1"/>
    <col min="746" max="746" width="10.28515625" style="51" customWidth="1"/>
    <col min="747" max="747" width="34.140625" style="51" customWidth="1"/>
    <col min="748" max="748" width="9.28515625" style="51" customWidth="1"/>
    <col min="749" max="750" width="12.140625" style="51" customWidth="1"/>
    <col min="751" max="761" width="9.85546875" style="51" customWidth="1"/>
    <col min="762" max="762" width="11.5703125" style="51" customWidth="1"/>
    <col min="763" max="763" width="12.7109375" style="51" customWidth="1"/>
    <col min="764" max="764" width="9.140625" style="51"/>
    <col min="765" max="765" width="11.42578125" style="51" customWidth="1"/>
    <col min="766" max="999" width="9.140625" style="51"/>
    <col min="1000" max="1000" width="3.140625" style="51" customWidth="1"/>
    <col min="1001" max="1001" width="6.140625" style="51" customWidth="1"/>
    <col min="1002" max="1002" width="10.28515625" style="51" customWidth="1"/>
    <col min="1003" max="1003" width="34.140625" style="51" customWidth="1"/>
    <col min="1004" max="1004" width="9.28515625" style="51" customWidth="1"/>
    <col min="1005" max="1006" width="12.140625" style="51" customWidth="1"/>
    <col min="1007" max="1017" width="9.85546875" style="51" customWidth="1"/>
    <col min="1018" max="1018" width="11.5703125" style="51" customWidth="1"/>
    <col min="1019" max="1019" width="12.7109375" style="51" customWidth="1"/>
    <col min="1020" max="1020" width="9.140625" style="51"/>
    <col min="1021" max="1021" width="11.42578125" style="51" customWidth="1"/>
    <col min="1022" max="1255" width="9.140625" style="51"/>
    <col min="1256" max="1256" width="3.140625" style="51" customWidth="1"/>
    <col min="1257" max="1257" width="6.140625" style="51" customWidth="1"/>
    <col min="1258" max="1258" width="10.28515625" style="51" customWidth="1"/>
    <col min="1259" max="1259" width="34.140625" style="51" customWidth="1"/>
    <col min="1260" max="1260" width="9.28515625" style="51" customWidth="1"/>
    <col min="1261" max="1262" width="12.140625" style="51" customWidth="1"/>
    <col min="1263" max="1273" width="9.85546875" style="51" customWidth="1"/>
    <col min="1274" max="1274" width="11.5703125" style="51" customWidth="1"/>
    <col min="1275" max="1275" width="12.7109375" style="51" customWidth="1"/>
    <col min="1276" max="1276" width="9.140625" style="51"/>
    <col min="1277" max="1277" width="11.42578125" style="51" customWidth="1"/>
    <col min="1278" max="1511" width="9.140625" style="51"/>
    <col min="1512" max="1512" width="3.140625" style="51" customWidth="1"/>
    <col min="1513" max="1513" width="6.140625" style="51" customWidth="1"/>
    <col min="1514" max="1514" width="10.28515625" style="51" customWidth="1"/>
    <col min="1515" max="1515" width="34.140625" style="51" customWidth="1"/>
    <col min="1516" max="1516" width="9.28515625" style="51" customWidth="1"/>
    <col min="1517" max="1518" width="12.140625" style="51" customWidth="1"/>
    <col min="1519" max="1529" width="9.85546875" style="51" customWidth="1"/>
    <col min="1530" max="1530" width="11.5703125" style="51" customWidth="1"/>
    <col min="1531" max="1531" width="12.7109375" style="51" customWidth="1"/>
    <col min="1532" max="1532" width="9.140625" style="51"/>
    <col min="1533" max="1533" width="11.42578125" style="51" customWidth="1"/>
    <col min="1534" max="1767" width="9.140625" style="51"/>
    <col min="1768" max="1768" width="3.140625" style="51" customWidth="1"/>
    <col min="1769" max="1769" width="6.140625" style="51" customWidth="1"/>
    <col min="1770" max="1770" width="10.28515625" style="51" customWidth="1"/>
    <col min="1771" max="1771" width="34.140625" style="51" customWidth="1"/>
    <col min="1772" max="1772" width="9.28515625" style="51" customWidth="1"/>
    <col min="1773" max="1774" width="12.140625" style="51" customWidth="1"/>
    <col min="1775" max="1785" width="9.85546875" style="51" customWidth="1"/>
    <col min="1786" max="1786" width="11.5703125" style="51" customWidth="1"/>
    <col min="1787" max="1787" width="12.7109375" style="51" customWidth="1"/>
    <col min="1788" max="1788" width="9.140625" style="51"/>
    <col min="1789" max="1789" width="11.42578125" style="51" customWidth="1"/>
    <col min="1790" max="2023" width="9.140625" style="51"/>
    <col min="2024" max="2024" width="3.140625" style="51" customWidth="1"/>
    <col min="2025" max="2025" width="6.140625" style="51" customWidth="1"/>
    <col min="2026" max="2026" width="10.28515625" style="51" customWidth="1"/>
    <col min="2027" max="2027" width="34.140625" style="51" customWidth="1"/>
    <col min="2028" max="2028" width="9.28515625" style="51" customWidth="1"/>
    <col min="2029" max="2030" width="12.140625" style="51" customWidth="1"/>
    <col min="2031" max="2041" width="9.85546875" style="51" customWidth="1"/>
    <col min="2042" max="2042" width="11.5703125" style="51" customWidth="1"/>
    <col min="2043" max="2043" width="12.7109375" style="51" customWidth="1"/>
    <col min="2044" max="2044" width="9.140625" style="51"/>
    <col min="2045" max="2045" width="11.42578125" style="51" customWidth="1"/>
    <col min="2046" max="2279" width="9.140625" style="51"/>
    <col min="2280" max="2280" width="3.140625" style="51" customWidth="1"/>
    <col min="2281" max="2281" width="6.140625" style="51" customWidth="1"/>
    <col min="2282" max="2282" width="10.28515625" style="51" customWidth="1"/>
    <col min="2283" max="2283" width="34.140625" style="51" customWidth="1"/>
    <col min="2284" max="2284" width="9.28515625" style="51" customWidth="1"/>
    <col min="2285" max="2286" width="12.140625" style="51" customWidth="1"/>
    <col min="2287" max="2297" width="9.85546875" style="51" customWidth="1"/>
    <col min="2298" max="2298" width="11.5703125" style="51" customWidth="1"/>
    <col min="2299" max="2299" width="12.7109375" style="51" customWidth="1"/>
    <col min="2300" max="2300" width="9.140625" style="51"/>
    <col min="2301" max="2301" width="11.42578125" style="51" customWidth="1"/>
    <col min="2302" max="2535" width="9.140625" style="51"/>
    <col min="2536" max="2536" width="3.140625" style="51" customWidth="1"/>
    <col min="2537" max="2537" width="6.140625" style="51" customWidth="1"/>
    <col min="2538" max="2538" width="10.28515625" style="51" customWidth="1"/>
    <col min="2539" max="2539" width="34.140625" style="51" customWidth="1"/>
    <col min="2540" max="2540" width="9.28515625" style="51" customWidth="1"/>
    <col min="2541" max="2542" width="12.140625" style="51" customWidth="1"/>
    <col min="2543" max="2553" width="9.85546875" style="51" customWidth="1"/>
    <col min="2554" max="2554" width="11.5703125" style="51" customWidth="1"/>
    <col min="2555" max="2555" width="12.7109375" style="51" customWidth="1"/>
    <col min="2556" max="2556" width="9.140625" style="51"/>
    <col min="2557" max="2557" width="11.42578125" style="51" customWidth="1"/>
    <col min="2558" max="2791" width="9.140625" style="51"/>
    <col min="2792" max="2792" width="3.140625" style="51" customWidth="1"/>
    <col min="2793" max="2793" width="6.140625" style="51" customWidth="1"/>
    <col min="2794" max="2794" width="10.28515625" style="51" customWidth="1"/>
    <col min="2795" max="2795" width="34.140625" style="51" customWidth="1"/>
    <col min="2796" max="2796" width="9.28515625" style="51" customWidth="1"/>
    <col min="2797" max="2798" width="12.140625" style="51" customWidth="1"/>
    <col min="2799" max="2809" width="9.85546875" style="51" customWidth="1"/>
    <col min="2810" max="2810" width="11.5703125" style="51" customWidth="1"/>
    <col min="2811" max="2811" width="12.7109375" style="51" customWidth="1"/>
    <col min="2812" max="2812" width="9.140625" style="51"/>
    <col min="2813" max="2813" width="11.42578125" style="51" customWidth="1"/>
    <col min="2814" max="3047" width="9.140625" style="51"/>
    <col min="3048" max="3048" width="3.140625" style="51" customWidth="1"/>
    <col min="3049" max="3049" width="6.140625" style="51" customWidth="1"/>
    <col min="3050" max="3050" width="10.28515625" style="51" customWidth="1"/>
    <col min="3051" max="3051" width="34.140625" style="51" customWidth="1"/>
    <col min="3052" max="3052" width="9.28515625" style="51" customWidth="1"/>
    <col min="3053" max="3054" width="12.140625" style="51" customWidth="1"/>
    <col min="3055" max="3065" width="9.85546875" style="51" customWidth="1"/>
    <col min="3066" max="3066" width="11.5703125" style="51" customWidth="1"/>
    <col min="3067" max="3067" width="12.7109375" style="51" customWidth="1"/>
    <col min="3068" max="3068" width="9.140625" style="51"/>
    <col min="3069" max="3069" width="11.42578125" style="51" customWidth="1"/>
    <col min="3070" max="3303" width="9.140625" style="51"/>
    <col min="3304" max="3304" width="3.140625" style="51" customWidth="1"/>
    <col min="3305" max="3305" width="6.140625" style="51" customWidth="1"/>
    <col min="3306" max="3306" width="10.28515625" style="51" customWidth="1"/>
    <col min="3307" max="3307" width="34.140625" style="51" customWidth="1"/>
    <col min="3308" max="3308" width="9.28515625" style="51" customWidth="1"/>
    <col min="3309" max="3310" width="12.140625" style="51" customWidth="1"/>
    <col min="3311" max="3321" width="9.85546875" style="51" customWidth="1"/>
    <col min="3322" max="3322" width="11.5703125" style="51" customWidth="1"/>
    <col min="3323" max="3323" width="12.7109375" style="51" customWidth="1"/>
    <col min="3324" max="3324" width="9.140625" style="51"/>
    <col min="3325" max="3325" width="11.42578125" style="51" customWidth="1"/>
    <col min="3326" max="3559" width="9.140625" style="51"/>
    <col min="3560" max="3560" width="3.140625" style="51" customWidth="1"/>
    <col min="3561" max="3561" width="6.140625" style="51" customWidth="1"/>
    <col min="3562" max="3562" width="10.28515625" style="51" customWidth="1"/>
    <col min="3563" max="3563" width="34.140625" style="51" customWidth="1"/>
    <col min="3564" max="3564" width="9.28515625" style="51" customWidth="1"/>
    <col min="3565" max="3566" width="12.140625" style="51" customWidth="1"/>
    <col min="3567" max="3577" width="9.85546875" style="51" customWidth="1"/>
    <col min="3578" max="3578" width="11.5703125" style="51" customWidth="1"/>
    <col min="3579" max="3579" width="12.7109375" style="51" customWidth="1"/>
    <col min="3580" max="3580" width="9.140625" style="51"/>
    <col min="3581" max="3581" width="11.42578125" style="51" customWidth="1"/>
    <col min="3582" max="3815" width="9.140625" style="51"/>
    <col min="3816" max="3816" width="3.140625" style="51" customWidth="1"/>
    <col min="3817" max="3817" width="6.140625" style="51" customWidth="1"/>
    <col min="3818" max="3818" width="10.28515625" style="51" customWidth="1"/>
    <col min="3819" max="3819" width="34.140625" style="51" customWidth="1"/>
    <col min="3820" max="3820" width="9.28515625" style="51" customWidth="1"/>
    <col min="3821" max="3822" width="12.140625" style="51" customWidth="1"/>
    <col min="3823" max="3833" width="9.85546875" style="51" customWidth="1"/>
    <col min="3834" max="3834" width="11.5703125" style="51" customWidth="1"/>
    <col min="3835" max="3835" width="12.7109375" style="51" customWidth="1"/>
    <col min="3836" max="3836" width="9.140625" style="51"/>
    <col min="3837" max="3837" width="11.42578125" style="51" customWidth="1"/>
    <col min="3838" max="4071" width="9.140625" style="51"/>
    <col min="4072" max="4072" width="3.140625" style="51" customWidth="1"/>
    <col min="4073" max="4073" width="6.140625" style="51" customWidth="1"/>
    <col min="4074" max="4074" width="10.28515625" style="51" customWidth="1"/>
    <col min="4075" max="4075" width="34.140625" style="51" customWidth="1"/>
    <col min="4076" max="4076" width="9.28515625" style="51" customWidth="1"/>
    <col min="4077" max="4078" width="12.140625" style="51" customWidth="1"/>
    <col min="4079" max="4089" width="9.85546875" style="51" customWidth="1"/>
    <col min="4090" max="4090" width="11.5703125" style="51" customWidth="1"/>
    <col min="4091" max="4091" width="12.7109375" style="51" customWidth="1"/>
    <col min="4092" max="4092" width="9.140625" style="51"/>
    <col min="4093" max="4093" width="11.42578125" style="51" customWidth="1"/>
    <col min="4094" max="4327" width="9.140625" style="51"/>
    <col min="4328" max="4328" width="3.140625" style="51" customWidth="1"/>
    <col min="4329" max="4329" width="6.140625" style="51" customWidth="1"/>
    <col min="4330" max="4330" width="10.28515625" style="51" customWidth="1"/>
    <col min="4331" max="4331" width="34.140625" style="51" customWidth="1"/>
    <col min="4332" max="4332" width="9.28515625" style="51" customWidth="1"/>
    <col min="4333" max="4334" width="12.140625" style="51" customWidth="1"/>
    <col min="4335" max="4345" width="9.85546875" style="51" customWidth="1"/>
    <col min="4346" max="4346" width="11.5703125" style="51" customWidth="1"/>
    <col min="4347" max="4347" width="12.7109375" style="51" customWidth="1"/>
    <col min="4348" max="4348" width="9.140625" style="51"/>
    <col min="4349" max="4349" width="11.42578125" style="51" customWidth="1"/>
    <col min="4350" max="4583" width="9.140625" style="51"/>
    <col min="4584" max="4584" width="3.140625" style="51" customWidth="1"/>
    <col min="4585" max="4585" width="6.140625" style="51" customWidth="1"/>
    <col min="4586" max="4586" width="10.28515625" style="51" customWidth="1"/>
    <col min="4587" max="4587" width="34.140625" style="51" customWidth="1"/>
    <col min="4588" max="4588" width="9.28515625" style="51" customWidth="1"/>
    <col min="4589" max="4590" width="12.140625" style="51" customWidth="1"/>
    <col min="4591" max="4601" width="9.85546875" style="51" customWidth="1"/>
    <col min="4602" max="4602" width="11.5703125" style="51" customWidth="1"/>
    <col min="4603" max="4603" width="12.7109375" style="51" customWidth="1"/>
    <col min="4604" max="4604" width="9.140625" style="51"/>
    <col min="4605" max="4605" width="11.42578125" style="51" customWidth="1"/>
    <col min="4606" max="4839" width="9.140625" style="51"/>
    <col min="4840" max="4840" width="3.140625" style="51" customWidth="1"/>
    <col min="4841" max="4841" width="6.140625" style="51" customWidth="1"/>
    <col min="4842" max="4842" width="10.28515625" style="51" customWidth="1"/>
    <col min="4843" max="4843" width="34.140625" style="51" customWidth="1"/>
    <col min="4844" max="4844" width="9.28515625" style="51" customWidth="1"/>
    <col min="4845" max="4846" width="12.140625" style="51" customWidth="1"/>
    <col min="4847" max="4857" width="9.85546875" style="51" customWidth="1"/>
    <col min="4858" max="4858" width="11.5703125" style="51" customWidth="1"/>
    <col min="4859" max="4859" width="12.7109375" style="51" customWidth="1"/>
    <col min="4860" max="4860" width="9.140625" style="51"/>
    <col min="4861" max="4861" width="11.42578125" style="51" customWidth="1"/>
    <col min="4862" max="5095" width="9.140625" style="51"/>
    <col min="5096" max="5096" width="3.140625" style="51" customWidth="1"/>
    <col min="5097" max="5097" width="6.140625" style="51" customWidth="1"/>
    <col min="5098" max="5098" width="10.28515625" style="51" customWidth="1"/>
    <col min="5099" max="5099" width="34.140625" style="51" customWidth="1"/>
    <col min="5100" max="5100" width="9.28515625" style="51" customWidth="1"/>
    <col min="5101" max="5102" width="12.140625" style="51" customWidth="1"/>
    <col min="5103" max="5113" width="9.85546875" style="51" customWidth="1"/>
    <col min="5114" max="5114" width="11.5703125" style="51" customWidth="1"/>
    <col min="5115" max="5115" width="12.7109375" style="51" customWidth="1"/>
    <col min="5116" max="5116" width="9.140625" style="51"/>
    <col min="5117" max="5117" width="11.42578125" style="51" customWidth="1"/>
    <col min="5118" max="5351" width="9.140625" style="51"/>
    <col min="5352" max="5352" width="3.140625" style="51" customWidth="1"/>
    <col min="5353" max="5353" width="6.140625" style="51" customWidth="1"/>
    <col min="5354" max="5354" width="10.28515625" style="51" customWidth="1"/>
    <col min="5355" max="5355" width="34.140625" style="51" customWidth="1"/>
    <col min="5356" max="5356" width="9.28515625" style="51" customWidth="1"/>
    <col min="5357" max="5358" width="12.140625" style="51" customWidth="1"/>
    <col min="5359" max="5369" width="9.85546875" style="51" customWidth="1"/>
    <col min="5370" max="5370" width="11.5703125" style="51" customWidth="1"/>
    <col min="5371" max="5371" width="12.7109375" style="51" customWidth="1"/>
    <col min="5372" max="5372" width="9.140625" style="51"/>
    <col min="5373" max="5373" width="11.42578125" style="51" customWidth="1"/>
    <col min="5374" max="5607" width="9.140625" style="51"/>
    <col min="5608" max="5608" width="3.140625" style="51" customWidth="1"/>
    <col min="5609" max="5609" width="6.140625" style="51" customWidth="1"/>
    <col min="5610" max="5610" width="10.28515625" style="51" customWidth="1"/>
    <col min="5611" max="5611" width="34.140625" style="51" customWidth="1"/>
    <col min="5612" max="5612" width="9.28515625" style="51" customWidth="1"/>
    <col min="5613" max="5614" width="12.140625" style="51" customWidth="1"/>
    <col min="5615" max="5625" width="9.85546875" style="51" customWidth="1"/>
    <col min="5626" max="5626" width="11.5703125" style="51" customWidth="1"/>
    <col min="5627" max="5627" width="12.7109375" style="51" customWidth="1"/>
    <col min="5628" max="5628" width="9.140625" style="51"/>
    <col min="5629" max="5629" width="11.42578125" style="51" customWidth="1"/>
    <col min="5630" max="5863" width="9.140625" style="51"/>
    <col min="5864" max="5864" width="3.140625" style="51" customWidth="1"/>
    <col min="5865" max="5865" width="6.140625" style="51" customWidth="1"/>
    <col min="5866" max="5866" width="10.28515625" style="51" customWidth="1"/>
    <col min="5867" max="5867" width="34.140625" style="51" customWidth="1"/>
    <col min="5868" max="5868" width="9.28515625" style="51" customWidth="1"/>
    <col min="5869" max="5870" width="12.140625" style="51" customWidth="1"/>
    <col min="5871" max="5881" width="9.85546875" style="51" customWidth="1"/>
    <col min="5882" max="5882" width="11.5703125" style="51" customWidth="1"/>
    <col min="5883" max="5883" width="12.7109375" style="51" customWidth="1"/>
    <col min="5884" max="5884" width="9.140625" style="51"/>
    <col min="5885" max="5885" width="11.42578125" style="51" customWidth="1"/>
    <col min="5886" max="6119" width="9.140625" style="51"/>
    <col min="6120" max="6120" width="3.140625" style="51" customWidth="1"/>
    <col min="6121" max="6121" width="6.140625" style="51" customWidth="1"/>
    <col min="6122" max="6122" width="10.28515625" style="51" customWidth="1"/>
    <col min="6123" max="6123" width="34.140625" style="51" customWidth="1"/>
    <col min="6124" max="6124" width="9.28515625" style="51" customWidth="1"/>
    <col min="6125" max="6126" width="12.140625" style="51" customWidth="1"/>
    <col min="6127" max="6137" width="9.85546875" style="51" customWidth="1"/>
    <col min="6138" max="6138" width="11.5703125" style="51" customWidth="1"/>
    <col min="6139" max="6139" width="12.7109375" style="51" customWidth="1"/>
    <col min="6140" max="6140" width="9.140625" style="51"/>
    <col min="6141" max="6141" width="11.42578125" style="51" customWidth="1"/>
    <col min="6142" max="6375" width="9.140625" style="51"/>
    <col min="6376" max="6376" width="3.140625" style="51" customWidth="1"/>
    <col min="6377" max="6377" width="6.140625" style="51" customWidth="1"/>
    <col min="6378" max="6378" width="10.28515625" style="51" customWidth="1"/>
    <col min="6379" max="6379" width="34.140625" style="51" customWidth="1"/>
    <col min="6380" max="6380" width="9.28515625" style="51" customWidth="1"/>
    <col min="6381" max="6382" width="12.140625" style="51" customWidth="1"/>
    <col min="6383" max="6393" width="9.85546875" style="51" customWidth="1"/>
    <col min="6394" max="6394" width="11.5703125" style="51" customWidth="1"/>
    <col min="6395" max="6395" width="12.7109375" style="51" customWidth="1"/>
    <col min="6396" max="6396" width="9.140625" style="51"/>
    <col min="6397" max="6397" width="11.42578125" style="51" customWidth="1"/>
    <col min="6398" max="6631" width="9.140625" style="51"/>
    <col min="6632" max="6632" width="3.140625" style="51" customWidth="1"/>
    <col min="6633" max="6633" width="6.140625" style="51" customWidth="1"/>
    <col min="6634" max="6634" width="10.28515625" style="51" customWidth="1"/>
    <col min="6635" max="6635" width="34.140625" style="51" customWidth="1"/>
    <col min="6636" max="6636" width="9.28515625" style="51" customWidth="1"/>
    <col min="6637" max="6638" width="12.140625" style="51" customWidth="1"/>
    <col min="6639" max="6649" width="9.85546875" style="51" customWidth="1"/>
    <col min="6650" max="6650" width="11.5703125" style="51" customWidth="1"/>
    <col min="6651" max="6651" width="12.7109375" style="51" customWidth="1"/>
    <col min="6652" max="6652" width="9.140625" style="51"/>
    <col min="6653" max="6653" width="11.42578125" style="51" customWidth="1"/>
    <col min="6654" max="6887" width="9.140625" style="51"/>
    <col min="6888" max="6888" width="3.140625" style="51" customWidth="1"/>
    <col min="6889" max="6889" width="6.140625" style="51" customWidth="1"/>
    <col min="6890" max="6890" width="10.28515625" style="51" customWidth="1"/>
    <col min="6891" max="6891" width="34.140625" style="51" customWidth="1"/>
    <col min="6892" max="6892" width="9.28515625" style="51" customWidth="1"/>
    <col min="6893" max="6894" width="12.140625" style="51" customWidth="1"/>
    <col min="6895" max="6905" width="9.85546875" style="51" customWidth="1"/>
    <col min="6906" max="6906" width="11.5703125" style="51" customWidth="1"/>
    <col min="6907" max="6907" width="12.7109375" style="51" customWidth="1"/>
    <col min="6908" max="6908" width="9.140625" style="51"/>
    <col min="6909" max="6909" width="11.42578125" style="51" customWidth="1"/>
    <col min="6910" max="7143" width="9.140625" style="51"/>
    <col min="7144" max="7144" width="3.140625" style="51" customWidth="1"/>
    <col min="7145" max="7145" width="6.140625" style="51" customWidth="1"/>
    <col min="7146" max="7146" width="10.28515625" style="51" customWidth="1"/>
    <col min="7147" max="7147" width="34.140625" style="51" customWidth="1"/>
    <col min="7148" max="7148" width="9.28515625" style="51" customWidth="1"/>
    <col min="7149" max="7150" width="12.140625" style="51" customWidth="1"/>
    <col min="7151" max="7161" width="9.85546875" style="51" customWidth="1"/>
    <col min="7162" max="7162" width="11.5703125" style="51" customWidth="1"/>
    <col min="7163" max="7163" width="12.7109375" style="51" customWidth="1"/>
    <col min="7164" max="7164" width="9.140625" style="51"/>
    <col min="7165" max="7165" width="11.42578125" style="51" customWidth="1"/>
    <col min="7166" max="7399" width="9.140625" style="51"/>
    <col min="7400" max="7400" width="3.140625" style="51" customWidth="1"/>
    <col min="7401" max="7401" width="6.140625" style="51" customWidth="1"/>
    <col min="7402" max="7402" width="10.28515625" style="51" customWidth="1"/>
    <col min="7403" max="7403" width="34.140625" style="51" customWidth="1"/>
    <col min="7404" max="7404" width="9.28515625" style="51" customWidth="1"/>
    <col min="7405" max="7406" width="12.140625" style="51" customWidth="1"/>
    <col min="7407" max="7417" width="9.85546875" style="51" customWidth="1"/>
    <col min="7418" max="7418" width="11.5703125" style="51" customWidth="1"/>
    <col min="7419" max="7419" width="12.7109375" style="51" customWidth="1"/>
    <col min="7420" max="7420" width="9.140625" style="51"/>
    <col min="7421" max="7421" width="11.42578125" style="51" customWidth="1"/>
    <col min="7422" max="7655" width="9.140625" style="51"/>
    <col min="7656" max="7656" width="3.140625" style="51" customWidth="1"/>
    <col min="7657" max="7657" width="6.140625" style="51" customWidth="1"/>
    <col min="7658" max="7658" width="10.28515625" style="51" customWidth="1"/>
    <col min="7659" max="7659" width="34.140625" style="51" customWidth="1"/>
    <col min="7660" max="7660" width="9.28515625" style="51" customWidth="1"/>
    <col min="7661" max="7662" width="12.140625" style="51" customWidth="1"/>
    <col min="7663" max="7673" width="9.85546875" style="51" customWidth="1"/>
    <col min="7674" max="7674" width="11.5703125" style="51" customWidth="1"/>
    <col min="7675" max="7675" width="12.7109375" style="51" customWidth="1"/>
    <col min="7676" max="7676" width="9.140625" style="51"/>
    <col min="7677" max="7677" width="11.42578125" style="51" customWidth="1"/>
    <col min="7678" max="7911" width="9.140625" style="51"/>
    <col min="7912" max="7912" width="3.140625" style="51" customWidth="1"/>
    <col min="7913" max="7913" width="6.140625" style="51" customWidth="1"/>
    <col min="7914" max="7914" width="10.28515625" style="51" customWidth="1"/>
    <col min="7915" max="7915" width="34.140625" style="51" customWidth="1"/>
    <col min="7916" max="7916" width="9.28515625" style="51" customWidth="1"/>
    <col min="7917" max="7918" width="12.140625" style="51" customWidth="1"/>
    <col min="7919" max="7929" width="9.85546875" style="51" customWidth="1"/>
    <col min="7930" max="7930" width="11.5703125" style="51" customWidth="1"/>
    <col min="7931" max="7931" width="12.7109375" style="51" customWidth="1"/>
    <col min="7932" max="7932" width="9.140625" style="51"/>
    <col min="7933" max="7933" width="11.42578125" style="51" customWidth="1"/>
    <col min="7934" max="8167" width="9.140625" style="51"/>
    <col min="8168" max="8168" width="3.140625" style="51" customWidth="1"/>
    <col min="8169" max="8169" width="6.140625" style="51" customWidth="1"/>
    <col min="8170" max="8170" width="10.28515625" style="51" customWidth="1"/>
    <col min="8171" max="8171" width="34.140625" style="51" customWidth="1"/>
    <col min="8172" max="8172" width="9.28515625" style="51" customWidth="1"/>
    <col min="8173" max="8174" width="12.140625" style="51" customWidth="1"/>
    <col min="8175" max="8185" width="9.85546875" style="51" customWidth="1"/>
    <col min="8186" max="8186" width="11.5703125" style="51" customWidth="1"/>
    <col min="8187" max="8187" width="12.7109375" style="51" customWidth="1"/>
    <col min="8188" max="8188" width="9.140625" style="51"/>
    <col min="8189" max="8189" width="11.42578125" style="51" customWidth="1"/>
    <col min="8190" max="8423" width="9.140625" style="51"/>
    <col min="8424" max="8424" width="3.140625" style="51" customWidth="1"/>
    <col min="8425" max="8425" width="6.140625" style="51" customWidth="1"/>
    <col min="8426" max="8426" width="10.28515625" style="51" customWidth="1"/>
    <col min="8427" max="8427" width="34.140625" style="51" customWidth="1"/>
    <col min="8428" max="8428" width="9.28515625" style="51" customWidth="1"/>
    <col min="8429" max="8430" width="12.140625" style="51" customWidth="1"/>
    <col min="8431" max="8441" width="9.85546875" style="51" customWidth="1"/>
    <col min="8442" max="8442" width="11.5703125" style="51" customWidth="1"/>
    <col min="8443" max="8443" width="12.7109375" style="51" customWidth="1"/>
    <col min="8444" max="8444" width="9.140625" style="51"/>
    <col min="8445" max="8445" width="11.42578125" style="51" customWidth="1"/>
    <col min="8446" max="8679" width="9.140625" style="51"/>
    <col min="8680" max="8680" width="3.140625" style="51" customWidth="1"/>
    <col min="8681" max="8681" width="6.140625" style="51" customWidth="1"/>
    <col min="8682" max="8682" width="10.28515625" style="51" customWidth="1"/>
    <col min="8683" max="8683" width="34.140625" style="51" customWidth="1"/>
    <col min="8684" max="8684" width="9.28515625" style="51" customWidth="1"/>
    <col min="8685" max="8686" width="12.140625" style="51" customWidth="1"/>
    <col min="8687" max="8697" width="9.85546875" style="51" customWidth="1"/>
    <col min="8698" max="8698" width="11.5703125" style="51" customWidth="1"/>
    <col min="8699" max="8699" width="12.7109375" style="51" customWidth="1"/>
    <col min="8700" max="8700" width="9.140625" style="51"/>
    <col min="8701" max="8701" width="11.42578125" style="51" customWidth="1"/>
    <col min="8702" max="8935" width="9.140625" style="51"/>
    <col min="8936" max="8936" width="3.140625" style="51" customWidth="1"/>
    <col min="8937" max="8937" width="6.140625" style="51" customWidth="1"/>
    <col min="8938" max="8938" width="10.28515625" style="51" customWidth="1"/>
    <col min="8939" max="8939" width="34.140625" style="51" customWidth="1"/>
    <col min="8940" max="8940" width="9.28515625" style="51" customWidth="1"/>
    <col min="8941" max="8942" width="12.140625" style="51" customWidth="1"/>
    <col min="8943" max="8953" width="9.85546875" style="51" customWidth="1"/>
    <col min="8954" max="8954" width="11.5703125" style="51" customWidth="1"/>
    <col min="8955" max="8955" width="12.7109375" style="51" customWidth="1"/>
    <col min="8956" max="8956" width="9.140625" style="51"/>
    <col min="8957" max="8957" width="11.42578125" style="51" customWidth="1"/>
    <col min="8958" max="9191" width="9.140625" style="51"/>
    <col min="9192" max="9192" width="3.140625" style="51" customWidth="1"/>
    <col min="9193" max="9193" width="6.140625" style="51" customWidth="1"/>
    <col min="9194" max="9194" width="10.28515625" style="51" customWidth="1"/>
    <col min="9195" max="9195" width="34.140625" style="51" customWidth="1"/>
    <col min="9196" max="9196" width="9.28515625" style="51" customWidth="1"/>
    <col min="9197" max="9198" width="12.140625" style="51" customWidth="1"/>
    <col min="9199" max="9209" width="9.85546875" style="51" customWidth="1"/>
    <col min="9210" max="9210" width="11.5703125" style="51" customWidth="1"/>
    <col min="9211" max="9211" width="12.7109375" style="51" customWidth="1"/>
    <col min="9212" max="9212" width="9.140625" style="51"/>
    <col min="9213" max="9213" width="11.42578125" style="51" customWidth="1"/>
    <col min="9214" max="9447" width="9.140625" style="51"/>
    <col min="9448" max="9448" width="3.140625" style="51" customWidth="1"/>
    <col min="9449" max="9449" width="6.140625" style="51" customWidth="1"/>
    <col min="9450" max="9450" width="10.28515625" style="51" customWidth="1"/>
    <col min="9451" max="9451" width="34.140625" style="51" customWidth="1"/>
    <col min="9452" max="9452" width="9.28515625" style="51" customWidth="1"/>
    <col min="9453" max="9454" width="12.140625" style="51" customWidth="1"/>
    <col min="9455" max="9465" width="9.85546875" style="51" customWidth="1"/>
    <col min="9466" max="9466" width="11.5703125" style="51" customWidth="1"/>
    <col min="9467" max="9467" width="12.7109375" style="51" customWidth="1"/>
    <col min="9468" max="9468" width="9.140625" style="51"/>
    <col min="9469" max="9469" width="11.42578125" style="51" customWidth="1"/>
    <col min="9470" max="9703" width="9.140625" style="51"/>
    <col min="9704" max="9704" width="3.140625" style="51" customWidth="1"/>
    <col min="9705" max="9705" width="6.140625" style="51" customWidth="1"/>
    <col min="9706" max="9706" width="10.28515625" style="51" customWidth="1"/>
    <col min="9707" max="9707" width="34.140625" style="51" customWidth="1"/>
    <col min="9708" max="9708" width="9.28515625" style="51" customWidth="1"/>
    <col min="9709" max="9710" width="12.140625" style="51" customWidth="1"/>
    <col min="9711" max="9721" width="9.85546875" style="51" customWidth="1"/>
    <col min="9722" max="9722" width="11.5703125" style="51" customWidth="1"/>
    <col min="9723" max="9723" width="12.7109375" style="51" customWidth="1"/>
    <col min="9724" max="9724" width="9.140625" style="51"/>
    <col min="9725" max="9725" width="11.42578125" style="51" customWidth="1"/>
    <col min="9726" max="9959" width="9.140625" style="51"/>
    <col min="9960" max="9960" width="3.140625" style="51" customWidth="1"/>
    <col min="9961" max="9961" width="6.140625" style="51" customWidth="1"/>
    <col min="9962" max="9962" width="10.28515625" style="51" customWidth="1"/>
    <col min="9963" max="9963" width="34.140625" style="51" customWidth="1"/>
    <col min="9964" max="9964" width="9.28515625" style="51" customWidth="1"/>
    <col min="9965" max="9966" width="12.140625" style="51" customWidth="1"/>
    <col min="9967" max="9977" width="9.85546875" style="51" customWidth="1"/>
    <col min="9978" max="9978" width="11.5703125" style="51" customWidth="1"/>
    <col min="9979" max="9979" width="12.7109375" style="51" customWidth="1"/>
    <col min="9980" max="9980" width="9.140625" style="51"/>
    <col min="9981" max="9981" width="11.42578125" style="51" customWidth="1"/>
    <col min="9982" max="10215" width="9.140625" style="51"/>
    <col min="10216" max="10216" width="3.140625" style="51" customWidth="1"/>
    <col min="10217" max="10217" width="6.140625" style="51" customWidth="1"/>
    <col min="10218" max="10218" width="10.28515625" style="51" customWidth="1"/>
    <col min="10219" max="10219" width="34.140625" style="51" customWidth="1"/>
    <col min="10220" max="10220" width="9.28515625" style="51" customWidth="1"/>
    <col min="10221" max="10222" width="12.140625" style="51" customWidth="1"/>
    <col min="10223" max="10233" width="9.85546875" style="51" customWidth="1"/>
    <col min="10234" max="10234" width="11.5703125" style="51" customWidth="1"/>
    <col min="10235" max="10235" width="12.7109375" style="51" customWidth="1"/>
    <col min="10236" max="10236" width="9.140625" style="51"/>
    <col min="10237" max="10237" width="11.42578125" style="51" customWidth="1"/>
    <col min="10238" max="10471" width="9.140625" style="51"/>
    <col min="10472" max="10472" width="3.140625" style="51" customWidth="1"/>
    <col min="10473" max="10473" width="6.140625" style="51" customWidth="1"/>
    <col min="10474" max="10474" width="10.28515625" style="51" customWidth="1"/>
    <col min="10475" max="10475" width="34.140625" style="51" customWidth="1"/>
    <col min="10476" max="10476" width="9.28515625" style="51" customWidth="1"/>
    <col min="10477" max="10478" width="12.140625" style="51" customWidth="1"/>
    <col min="10479" max="10489" width="9.85546875" style="51" customWidth="1"/>
    <col min="10490" max="10490" width="11.5703125" style="51" customWidth="1"/>
    <col min="10491" max="10491" width="12.7109375" style="51" customWidth="1"/>
    <col min="10492" max="10492" width="9.140625" style="51"/>
    <col min="10493" max="10493" width="11.42578125" style="51" customWidth="1"/>
    <col min="10494" max="10727" width="9.140625" style="51"/>
    <col min="10728" max="10728" width="3.140625" style="51" customWidth="1"/>
    <col min="10729" max="10729" width="6.140625" style="51" customWidth="1"/>
    <col min="10730" max="10730" width="10.28515625" style="51" customWidth="1"/>
    <col min="10731" max="10731" width="34.140625" style="51" customWidth="1"/>
    <col min="10732" max="10732" width="9.28515625" style="51" customWidth="1"/>
    <col min="10733" max="10734" width="12.140625" style="51" customWidth="1"/>
    <col min="10735" max="10745" width="9.85546875" style="51" customWidth="1"/>
    <col min="10746" max="10746" width="11.5703125" style="51" customWidth="1"/>
    <col min="10747" max="10747" width="12.7109375" style="51" customWidth="1"/>
    <col min="10748" max="10748" width="9.140625" style="51"/>
    <col min="10749" max="10749" width="11.42578125" style="51" customWidth="1"/>
    <col min="10750" max="10983" width="9.140625" style="51"/>
    <col min="10984" max="10984" width="3.140625" style="51" customWidth="1"/>
    <col min="10985" max="10985" width="6.140625" style="51" customWidth="1"/>
    <col min="10986" max="10986" width="10.28515625" style="51" customWidth="1"/>
    <col min="10987" max="10987" width="34.140625" style="51" customWidth="1"/>
    <col min="10988" max="10988" width="9.28515625" style="51" customWidth="1"/>
    <col min="10989" max="10990" width="12.140625" style="51" customWidth="1"/>
    <col min="10991" max="11001" width="9.85546875" style="51" customWidth="1"/>
    <col min="11002" max="11002" width="11.5703125" style="51" customWidth="1"/>
    <col min="11003" max="11003" width="12.7109375" style="51" customWidth="1"/>
    <col min="11004" max="11004" width="9.140625" style="51"/>
    <col min="11005" max="11005" width="11.42578125" style="51" customWidth="1"/>
    <col min="11006" max="11239" width="9.140625" style="51"/>
    <col min="11240" max="11240" width="3.140625" style="51" customWidth="1"/>
    <col min="11241" max="11241" width="6.140625" style="51" customWidth="1"/>
    <col min="11242" max="11242" width="10.28515625" style="51" customWidth="1"/>
    <col min="11243" max="11243" width="34.140625" style="51" customWidth="1"/>
    <col min="11244" max="11244" width="9.28515625" style="51" customWidth="1"/>
    <col min="11245" max="11246" width="12.140625" style="51" customWidth="1"/>
    <col min="11247" max="11257" width="9.85546875" style="51" customWidth="1"/>
    <col min="11258" max="11258" width="11.5703125" style="51" customWidth="1"/>
    <col min="11259" max="11259" width="12.7109375" style="51" customWidth="1"/>
    <col min="11260" max="11260" width="9.140625" style="51"/>
    <col min="11261" max="11261" width="11.42578125" style="51" customWidth="1"/>
    <col min="11262" max="11495" width="9.140625" style="51"/>
    <col min="11496" max="11496" width="3.140625" style="51" customWidth="1"/>
    <col min="11497" max="11497" width="6.140625" style="51" customWidth="1"/>
    <col min="11498" max="11498" width="10.28515625" style="51" customWidth="1"/>
    <col min="11499" max="11499" width="34.140625" style="51" customWidth="1"/>
    <col min="11500" max="11500" width="9.28515625" style="51" customWidth="1"/>
    <col min="11501" max="11502" width="12.140625" style="51" customWidth="1"/>
    <col min="11503" max="11513" width="9.85546875" style="51" customWidth="1"/>
    <col min="11514" max="11514" width="11.5703125" style="51" customWidth="1"/>
    <col min="11515" max="11515" width="12.7109375" style="51" customWidth="1"/>
    <col min="11516" max="11516" width="9.140625" style="51"/>
    <col min="11517" max="11517" width="11.42578125" style="51" customWidth="1"/>
    <col min="11518" max="11751" width="9.140625" style="51"/>
    <col min="11752" max="11752" width="3.140625" style="51" customWidth="1"/>
    <col min="11753" max="11753" width="6.140625" style="51" customWidth="1"/>
    <col min="11754" max="11754" width="10.28515625" style="51" customWidth="1"/>
    <col min="11755" max="11755" width="34.140625" style="51" customWidth="1"/>
    <col min="11756" max="11756" width="9.28515625" style="51" customWidth="1"/>
    <col min="11757" max="11758" width="12.140625" style="51" customWidth="1"/>
    <col min="11759" max="11769" width="9.85546875" style="51" customWidth="1"/>
    <col min="11770" max="11770" width="11.5703125" style="51" customWidth="1"/>
    <col min="11771" max="11771" width="12.7109375" style="51" customWidth="1"/>
    <col min="11772" max="11772" width="9.140625" style="51"/>
    <col min="11773" max="11773" width="11.42578125" style="51" customWidth="1"/>
    <col min="11774" max="12007" width="9.140625" style="51"/>
    <col min="12008" max="12008" width="3.140625" style="51" customWidth="1"/>
    <col min="12009" max="12009" width="6.140625" style="51" customWidth="1"/>
    <col min="12010" max="12010" width="10.28515625" style="51" customWidth="1"/>
    <col min="12011" max="12011" width="34.140625" style="51" customWidth="1"/>
    <col min="12012" max="12012" width="9.28515625" style="51" customWidth="1"/>
    <col min="12013" max="12014" width="12.140625" style="51" customWidth="1"/>
    <col min="12015" max="12025" width="9.85546875" style="51" customWidth="1"/>
    <col min="12026" max="12026" width="11.5703125" style="51" customWidth="1"/>
    <col min="12027" max="12027" width="12.7109375" style="51" customWidth="1"/>
    <col min="12028" max="12028" width="9.140625" style="51"/>
    <col min="12029" max="12029" width="11.42578125" style="51" customWidth="1"/>
    <col min="12030" max="12263" width="9.140625" style="51"/>
    <col min="12264" max="12264" width="3.140625" style="51" customWidth="1"/>
    <col min="12265" max="12265" width="6.140625" style="51" customWidth="1"/>
    <col min="12266" max="12266" width="10.28515625" style="51" customWidth="1"/>
    <col min="12267" max="12267" width="34.140625" style="51" customWidth="1"/>
    <col min="12268" max="12268" width="9.28515625" style="51" customWidth="1"/>
    <col min="12269" max="12270" width="12.140625" style="51" customWidth="1"/>
    <col min="12271" max="12281" width="9.85546875" style="51" customWidth="1"/>
    <col min="12282" max="12282" width="11.5703125" style="51" customWidth="1"/>
    <col min="12283" max="12283" width="12.7109375" style="51" customWidth="1"/>
    <col min="12284" max="12284" width="9.140625" style="51"/>
    <col min="12285" max="12285" width="11.42578125" style="51" customWidth="1"/>
    <col min="12286" max="12519" width="9.140625" style="51"/>
    <col min="12520" max="12520" width="3.140625" style="51" customWidth="1"/>
    <col min="12521" max="12521" width="6.140625" style="51" customWidth="1"/>
    <col min="12522" max="12522" width="10.28515625" style="51" customWidth="1"/>
    <col min="12523" max="12523" width="34.140625" style="51" customWidth="1"/>
    <col min="12524" max="12524" width="9.28515625" style="51" customWidth="1"/>
    <col min="12525" max="12526" width="12.140625" style="51" customWidth="1"/>
    <col min="12527" max="12537" width="9.85546875" style="51" customWidth="1"/>
    <col min="12538" max="12538" width="11.5703125" style="51" customWidth="1"/>
    <col min="12539" max="12539" width="12.7109375" style="51" customWidth="1"/>
    <col min="12540" max="12540" width="9.140625" style="51"/>
    <col min="12541" max="12541" width="11.42578125" style="51" customWidth="1"/>
    <col min="12542" max="12775" width="9.140625" style="51"/>
    <col min="12776" max="12776" width="3.140625" style="51" customWidth="1"/>
    <col min="12777" max="12777" width="6.140625" style="51" customWidth="1"/>
    <col min="12778" max="12778" width="10.28515625" style="51" customWidth="1"/>
    <col min="12779" max="12779" width="34.140625" style="51" customWidth="1"/>
    <col min="12780" max="12780" width="9.28515625" style="51" customWidth="1"/>
    <col min="12781" max="12782" width="12.140625" style="51" customWidth="1"/>
    <col min="12783" max="12793" width="9.85546875" style="51" customWidth="1"/>
    <col min="12794" max="12794" width="11.5703125" style="51" customWidth="1"/>
    <col min="12795" max="12795" width="12.7109375" style="51" customWidth="1"/>
    <col min="12796" max="12796" width="9.140625" style="51"/>
    <col min="12797" max="12797" width="11.42578125" style="51" customWidth="1"/>
    <col min="12798" max="13031" width="9.140625" style="51"/>
    <col min="13032" max="13032" width="3.140625" style="51" customWidth="1"/>
    <col min="13033" max="13033" width="6.140625" style="51" customWidth="1"/>
    <col min="13034" max="13034" width="10.28515625" style="51" customWidth="1"/>
    <col min="13035" max="13035" width="34.140625" style="51" customWidth="1"/>
    <col min="13036" max="13036" width="9.28515625" style="51" customWidth="1"/>
    <col min="13037" max="13038" width="12.140625" style="51" customWidth="1"/>
    <col min="13039" max="13049" width="9.85546875" style="51" customWidth="1"/>
    <col min="13050" max="13050" width="11.5703125" style="51" customWidth="1"/>
    <col min="13051" max="13051" width="12.7109375" style="51" customWidth="1"/>
    <col min="13052" max="13052" width="9.140625" style="51"/>
    <col min="13053" max="13053" width="11.42578125" style="51" customWidth="1"/>
    <col min="13054" max="13287" width="9.140625" style="51"/>
    <col min="13288" max="13288" width="3.140625" style="51" customWidth="1"/>
    <col min="13289" max="13289" width="6.140625" style="51" customWidth="1"/>
    <col min="13290" max="13290" width="10.28515625" style="51" customWidth="1"/>
    <col min="13291" max="13291" width="34.140625" style="51" customWidth="1"/>
    <col min="13292" max="13292" width="9.28515625" style="51" customWidth="1"/>
    <col min="13293" max="13294" width="12.140625" style="51" customWidth="1"/>
    <col min="13295" max="13305" width="9.85546875" style="51" customWidth="1"/>
    <col min="13306" max="13306" width="11.5703125" style="51" customWidth="1"/>
    <col min="13307" max="13307" width="12.7109375" style="51" customWidth="1"/>
    <col min="13308" max="13308" width="9.140625" style="51"/>
    <col min="13309" max="13309" width="11.42578125" style="51" customWidth="1"/>
    <col min="13310" max="13543" width="9.140625" style="51"/>
    <col min="13544" max="13544" width="3.140625" style="51" customWidth="1"/>
    <col min="13545" max="13545" width="6.140625" style="51" customWidth="1"/>
    <col min="13546" max="13546" width="10.28515625" style="51" customWidth="1"/>
    <col min="13547" max="13547" width="34.140625" style="51" customWidth="1"/>
    <col min="13548" max="13548" width="9.28515625" style="51" customWidth="1"/>
    <col min="13549" max="13550" width="12.140625" style="51" customWidth="1"/>
    <col min="13551" max="13561" width="9.85546875" style="51" customWidth="1"/>
    <col min="13562" max="13562" width="11.5703125" style="51" customWidth="1"/>
    <col min="13563" max="13563" width="12.7109375" style="51" customWidth="1"/>
    <col min="13564" max="13564" width="9.140625" style="51"/>
    <col min="13565" max="13565" width="11.42578125" style="51" customWidth="1"/>
    <col min="13566" max="13799" width="9.140625" style="51"/>
    <col min="13800" max="13800" width="3.140625" style="51" customWidth="1"/>
    <col min="13801" max="13801" width="6.140625" style="51" customWidth="1"/>
    <col min="13802" max="13802" width="10.28515625" style="51" customWidth="1"/>
    <col min="13803" max="13803" width="34.140625" style="51" customWidth="1"/>
    <col min="13804" max="13804" width="9.28515625" style="51" customWidth="1"/>
    <col min="13805" max="13806" width="12.140625" style="51" customWidth="1"/>
    <col min="13807" max="13817" width="9.85546875" style="51" customWidth="1"/>
    <col min="13818" max="13818" width="11.5703125" style="51" customWidth="1"/>
    <col min="13819" max="13819" width="12.7109375" style="51" customWidth="1"/>
    <col min="13820" max="13820" width="9.140625" style="51"/>
    <col min="13821" max="13821" width="11.42578125" style="51" customWidth="1"/>
    <col min="13822" max="14055" width="9.140625" style="51"/>
    <col min="14056" max="14056" width="3.140625" style="51" customWidth="1"/>
    <col min="14057" max="14057" width="6.140625" style="51" customWidth="1"/>
    <col min="14058" max="14058" width="10.28515625" style="51" customWidth="1"/>
    <col min="14059" max="14059" width="34.140625" style="51" customWidth="1"/>
    <col min="14060" max="14060" width="9.28515625" style="51" customWidth="1"/>
    <col min="14061" max="14062" width="12.140625" style="51" customWidth="1"/>
    <col min="14063" max="14073" width="9.85546875" style="51" customWidth="1"/>
    <col min="14074" max="14074" width="11.5703125" style="51" customWidth="1"/>
    <col min="14075" max="14075" width="12.7109375" style="51" customWidth="1"/>
    <col min="14076" max="14076" width="9.140625" style="51"/>
    <col min="14077" max="14077" width="11.42578125" style="51" customWidth="1"/>
    <col min="14078" max="14311" width="9.140625" style="51"/>
    <col min="14312" max="14312" width="3.140625" style="51" customWidth="1"/>
    <col min="14313" max="14313" width="6.140625" style="51" customWidth="1"/>
    <col min="14314" max="14314" width="10.28515625" style="51" customWidth="1"/>
    <col min="14315" max="14315" width="34.140625" style="51" customWidth="1"/>
    <col min="14316" max="14316" width="9.28515625" style="51" customWidth="1"/>
    <col min="14317" max="14318" width="12.140625" style="51" customWidth="1"/>
    <col min="14319" max="14329" width="9.85546875" style="51" customWidth="1"/>
    <col min="14330" max="14330" width="11.5703125" style="51" customWidth="1"/>
    <col min="14331" max="14331" width="12.7109375" style="51" customWidth="1"/>
    <col min="14332" max="14332" width="9.140625" style="51"/>
    <col min="14333" max="14333" width="11.42578125" style="51" customWidth="1"/>
    <col min="14334" max="14567" width="9.140625" style="51"/>
    <col min="14568" max="14568" width="3.140625" style="51" customWidth="1"/>
    <col min="14569" max="14569" width="6.140625" style="51" customWidth="1"/>
    <col min="14570" max="14570" width="10.28515625" style="51" customWidth="1"/>
    <col min="14571" max="14571" width="34.140625" style="51" customWidth="1"/>
    <col min="14572" max="14572" width="9.28515625" style="51" customWidth="1"/>
    <col min="14573" max="14574" width="12.140625" style="51" customWidth="1"/>
    <col min="14575" max="14585" width="9.85546875" style="51" customWidth="1"/>
    <col min="14586" max="14586" width="11.5703125" style="51" customWidth="1"/>
    <col min="14587" max="14587" width="12.7109375" style="51" customWidth="1"/>
    <col min="14588" max="14588" width="9.140625" style="51"/>
    <col min="14589" max="14589" width="11.42578125" style="51" customWidth="1"/>
    <col min="14590" max="14823" width="9.140625" style="51"/>
    <col min="14824" max="14824" width="3.140625" style="51" customWidth="1"/>
    <col min="14825" max="14825" width="6.140625" style="51" customWidth="1"/>
    <col min="14826" max="14826" width="10.28515625" style="51" customWidth="1"/>
    <col min="14827" max="14827" width="34.140625" style="51" customWidth="1"/>
    <col min="14828" max="14828" width="9.28515625" style="51" customWidth="1"/>
    <col min="14829" max="14830" width="12.140625" style="51" customWidth="1"/>
    <col min="14831" max="14841" width="9.85546875" style="51" customWidth="1"/>
    <col min="14842" max="14842" width="11.5703125" style="51" customWidth="1"/>
    <col min="14843" max="14843" width="12.7109375" style="51" customWidth="1"/>
    <col min="14844" max="14844" width="9.140625" style="51"/>
    <col min="14845" max="14845" width="11.42578125" style="51" customWidth="1"/>
    <col min="14846" max="15079" width="9.140625" style="51"/>
    <col min="15080" max="15080" width="3.140625" style="51" customWidth="1"/>
    <col min="15081" max="15081" width="6.140625" style="51" customWidth="1"/>
    <col min="15082" max="15082" width="10.28515625" style="51" customWidth="1"/>
    <col min="15083" max="15083" width="34.140625" style="51" customWidth="1"/>
    <col min="15084" max="15084" width="9.28515625" style="51" customWidth="1"/>
    <col min="15085" max="15086" width="12.140625" style="51" customWidth="1"/>
    <col min="15087" max="15097" width="9.85546875" style="51" customWidth="1"/>
    <col min="15098" max="15098" width="11.5703125" style="51" customWidth="1"/>
    <col min="15099" max="15099" width="12.7109375" style="51" customWidth="1"/>
    <col min="15100" max="15100" width="9.140625" style="51"/>
    <col min="15101" max="15101" width="11.42578125" style="51" customWidth="1"/>
    <col min="15102" max="15335" width="9.140625" style="51"/>
    <col min="15336" max="15336" width="3.140625" style="51" customWidth="1"/>
    <col min="15337" max="15337" width="6.140625" style="51" customWidth="1"/>
    <col min="15338" max="15338" width="10.28515625" style="51" customWidth="1"/>
    <col min="15339" max="15339" width="34.140625" style="51" customWidth="1"/>
    <col min="15340" max="15340" width="9.28515625" style="51" customWidth="1"/>
    <col min="15341" max="15342" width="12.140625" style="51" customWidth="1"/>
    <col min="15343" max="15353" width="9.85546875" style="51" customWidth="1"/>
    <col min="15354" max="15354" width="11.5703125" style="51" customWidth="1"/>
    <col min="15355" max="15355" width="12.7109375" style="51" customWidth="1"/>
    <col min="15356" max="15356" width="9.140625" style="51"/>
    <col min="15357" max="15357" width="11.42578125" style="51" customWidth="1"/>
    <col min="15358" max="15591" width="9.140625" style="51"/>
    <col min="15592" max="15592" width="3.140625" style="51" customWidth="1"/>
    <col min="15593" max="15593" width="6.140625" style="51" customWidth="1"/>
    <col min="15594" max="15594" width="10.28515625" style="51" customWidth="1"/>
    <col min="15595" max="15595" width="34.140625" style="51" customWidth="1"/>
    <col min="15596" max="15596" width="9.28515625" style="51" customWidth="1"/>
    <col min="15597" max="15598" width="12.140625" style="51" customWidth="1"/>
    <col min="15599" max="15609" width="9.85546875" style="51" customWidth="1"/>
    <col min="15610" max="15610" width="11.5703125" style="51" customWidth="1"/>
    <col min="15611" max="15611" width="12.7109375" style="51" customWidth="1"/>
    <col min="15612" max="15612" width="9.140625" style="51"/>
    <col min="15613" max="15613" width="11.42578125" style="51" customWidth="1"/>
    <col min="15614" max="15847" width="9.140625" style="51"/>
    <col min="15848" max="15848" width="3.140625" style="51" customWidth="1"/>
    <col min="15849" max="15849" width="6.140625" style="51" customWidth="1"/>
    <col min="15850" max="15850" width="10.28515625" style="51" customWidth="1"/>
    <col min="15851" max="15851" width="34.140625" style="51" customWidth="1"/>
    <col min="15852" max="15852" width="9.28515625" style="51" customWidth="1"/>
    <col min="15853" max="15854" width="12.140625" style="51" customWidth="1"/>
    <col min="15855" max="15865" width="9.85546875" style="51" customWidth="1"/>
    <col min="15866" max="15866" width="11.5703125" style="51" customWidth="1"/>
    <col min="15867" max="15867" width="12.7109375" style="51" customWidth="1"/>
    <col min="15868" max="15868" width="9.140625" style="51"/>
    <col min="15869" max="15869" width="11.42578125" style="51" customWidth="1"/>
    <col min="15870" max="16103" width="9.140625" style="51"/>
    <col min="16104" max="16104" width="3.140625" style="51" customWidth="1"/>
    <col min="16105" max="16105" width="6.140625" style="51" customWidth="1"/>
    <col min="16106" max="16106" width="10.28515625" style="51" customWidth="1"/>
    <col min="16107" max="16107" width="34.140625" style="51" customWidth="1"/>
    <col min="16108" max="16108" width="9.28515625" style="51" customWidth="1"/>
    <col min="16109" max="16110" width="12.140625" style="51" customWidth="1"/>
    <col min="16111" max="16121" width="9.85546875" style="51" customWidth="1"/>
    <col min="16122" max="16122" width="11.5703125" style="51" customWidth="1"/>
    <col min="16123" max="16123" width="12.7109375" style="51" customWidth="1"/>
    <col min="16124" max="16124" width="9.140625" style="51"/>
    <col min="16125" max="16125" width="11.42578125" style="51" customWidth="1"/>
    <col min="16126" max="16384" width="9.140625" style="51"/>
  </cols>
  <sheetData>
    <row r="1" spans="1:6" s="161" customFormat="1" ht="33.75" customHeight="1" x14ac:dyDescent="0.25">
      <c r="A1" s="182"/>
      <c r="B1" s="359" t="s">
        <v>194</v>
      </c>
      <c r="C1" s="359"/>
      <c r="D1" s="359"/>
      <c r="E1" s="359"/>
      <c r="F1" s="359"/>
    </row>
    <row r="2" spans="1:6" s="161" customFormat="1" ht="20.25" customHeight="1" x14ac:dyDescent="0.25">
      <c r="A2" s="182"/>
      <c r="B2" s="373" t="s">
        <v>225</v>
      </c>
      <c r="C2" s="373"/>
      <c r="D2" s="373"/>
      <c r="E2" s="373"/>
      <c r="F2" s="373"/>
    </row>
    <row r="3" spans="1:6" s="161" customFormat="1" ht="43.5" customHeight="1" x14ac:dyDescent="0.25">
      <c r="A3" s="182"/>
      <c r="B3" s="358" t="s">
        <v>11</v>
      </c>
      <c r="C3" s="358" t="s">
        <v>12</v>
      </c>
      <c r="D3" s="358"/>
      <c r="E3" s="358" t="s">
        <v>13</v>
      </c>
      <c r="F3" s="372" t="s">
        <v>14</v>
      </c>
    </row>
    <row r="4" spans="1:6" s="163" customFormat="1" ht="27" customHeight="1" x14ac:dyDescent="0.25">
      <c r="A4" s="183"/>
      <c r="B4" s="358"/>
      <c r="C4" s="358"/>
      <c r="D4" s="358"/>
      <c r="E4" s="358"/>
      <c r="F4" s="372"/>
    </row>
    <row r="5" spans="1:6" s="163" customFormat="1" ht="22.5" customHeight="1" x14ac:dyDescent="0.25">
      <c r="A5" s="183"/>
      <c r="B5" s="185"/>
      <c r="C5" s="371" t="s">
        <v>102</v>
      </c>
      <c r="D5" s="371"/>
      <c r="E5" s="371"/>
      <c r="F5" s="371"/>
    </row>
    <row r="6" spans="1:6" s="165" customFormat="1" ht="20.25" customHeight="1" x14ac:dyDescent="0.25">
      <c r="A6" s="192"/>
      <c r="B6" s="186"/>
      <c r="C6" s="356" t="s">
        <v>215</v>
      </c>
      <c r="D6" s="356"/>
      <c r="E6" s="186"/>
      <c r="F6" s="52"/>
    </row>
    <row r="7" spans="1:6" s="165" customFormat="1" ht="29.25" customHeight="1" x14ac:dyDescent="0.25">
      <c r="A7" s="192"/>
      <c r="B7" s="191">
        <v>8</v>
      </c>
      <c r="C7" s="353" t="s">
        <v>216</v>
      </c>
      <c r="D7" s="353"/>
      <c r="E7" s="186" t="s">
        <v>7</v>
      </c>
      <c r="F7" s="52">
        <v>65.400000000000006</v>
      </c>
    </row>
    <row r="8" spans="1:6" s="165" customFormat="1" ht="20.25" customHeight="1" x14ac:dyDescent="0.25">
      <c r="A8" s="192"/>
      <c r="B8" s="186"/>
      <c r="C8" s="351" t="s">
        <v>212</v>
      </c>
      <c r="D8" s="351"/>
      <c r="E8" s="193" t="s">
        <v>6</v>
      </c>
      <c r="F8" s="52">
        <f>F7*11.5</f>
        <v>752.1</v>
      </c>
    </row>
    <row r="9" spans="1:6" s="165" customFormat="1" ht="20.25" customHeight="1" x14ac:dyDescent="0.25">
      <c r="A9" s="192"/>
      <c r="B9" s="186"/>
      <c r="C9" s="351" t="s">
        <v>198</v>
      </c>
      <c r="D9" s="351"/>
      <c r="E9" s="193" t="s">
        <v>6</v>
      </c>
      <c r="F9" s="52">
        <f>F7*0.25</f>
        <v>16.350000000000001</v>
      </c>
    </row>
    <row r="10" spans="1:6" s="165" customFormat="1" ht="20.25" customHeight="1" x14ac:dyDescent="0.25">
      <c r="A10" s="192"/>
      <c r="B10" s="186"/>
      <c r="C10" s="351" t="s">
        <v>213</v>
      </c>
      <c r="D10" s="351"/>
      <c r="E10" s="193" t="s">
        <v>6</v>
      </c>
      <c r="F10" s="52">
        <f>F7*0.45</f>
        <v>29.430000000000003</v>
      </c>
    </row>
    <row r="11" spans="1:6" s="166" customFormat="1" ht="22.5" customHeight="1" x14ac:dyDescent="0.25">
      <c r="A11" s="183"/>
      <c r="B11" s="186"/>
      <c r="C11" s="351" t="s">
        <v>214</v>
      </c>
      <c r="D11" s="351"/>
      <c r="E11" s="193" t="s">
        <v>7</v>
      </c>
      <c r="F11" s="52">
        <f>F7*1.02</f>
        <v>66.708000000000013</v>
      </c>
    </row>
    <row r="12" spans="1:6" s="166" customFormat="1" ht="23.25" customHeight="1" x14ac:dyDescent="0.25">
      <c r="A12" s="183"/>
      <c r="B12" s="191">
        <v>9</v>
      </c>
      <c r="C12" s="353" t="s">
        <v>217</v>
      </c>
      <c r="D12" s="353"/>
      <c r="E12" s="186" t="s">
        <v>7</v>
      </c>
      <c r="F12" s="52">
        <v>107</v>
      </c>
    </row>
    <row r="13" spans="1:6" s="166" customFormat="1" ht="20.100000000000001" customHeight="1" x14ac:dyDescent="0.25">
      <c r="A13" s="183"/>
      <c r="B13" s="191"/>
      <c r="C13" s="355" t="s">
        <v>218</v>
      </c>
      <c r="D13" s="355"/>
      <c r="E13" s="186" t="s">
        <v>0</v>
      </c>
      <c r="F13" s="52">
        <f>F12*0.1*1.05</f>
        <v>11.235000000000001</v>
      </c>
    </row>
    <row r="14" spans="1:6" s="166" customFormat="1" ht="20.100000000000001" customHeight="1" x14ac:dyDescent="0.25">
      <c r="A14" s="183"/>
      <c r="B14" s="191"/>
      <c r="C14" s="355" t="s">
        <v>219</v>
      </c>
      <c r="D14" s="355"/>
      <c r="E14" s="186" t="s">
        <v>0</v>
      </c>
      <c r="F14" s="52">
        <f>F12*0.1*1.02</f>
        <v>10.914000000000001</v>
      </c>
    </row>
    <row r="15" spans="1:6" s="166" customFormat="1" ht="20.100000000000001" customHeight="1" x14ac:dyDescent="0.25">
      <c r="A15" s="183"/>
      <c r="B15" s="191"/>
      <c r="C15" s="355" t="s">
        <v>220</v>
      </c>
      <c r="D15" s="355"/>
      <c r="E15" s="186" t="s">
        <v>7</v>
      </c>
      <c r="F15" s="52">
        <f>F12*1.15</f>
        <v>123.05</v>
      </c>
    </row>
    <row r="16" spans="1:6" s="166" customFormat="1" ht="20.100000000000001" customHeight="1" x14ac:dyDescent="0.25">
      <c r="A16" s="183"/>
      <c r="B16" s="191"/>
      <c r="C16" s="355" t="s">
        <v>221</v>
      </c>
      <c r="D16" s="355"/>
      <c r="E16" s="186" t="s">
        <v>0</v>
      </c>
      <c r="F16" s="52">
        <f>F11*0.05*1.02</f>
        <v>3.402108000000001</v>
      </c>
    </row>
    <row r="17" spans="1:6" s="203" customFormat="1" ht="18.75" customHeight="1" x14ac:dyDescent="0.25">
      <c r="A17" s="200"/>
      <c r="B17" s="191">
        <v>10</v>
      </c>
      <c r="C17" s="368" t="s">
        <v>222</v>
      </c>
      <c r="D17" s="368"/>
      <c r="E17" s="201" t="s">
        <v>7</v>
      </c>
      <c r="F17" s="202">
        <v>1536.4</v>
      </c>
    </row>
    <row r="18" spans="1:6" x14ac:dyDescent="0.3">
      <c r="B18" s="191">
        <v>11</v>
      </c>
      <c r="C18" s="369" t="s">
        <v>774</v>
      </c>
      <c r="D18" s="369"/>
      <c r="E18" s="35" t="s">
        <v>51</v>
      </c>
      <c r="F18" s="36">
        <v>106</v>
      </c>
    </row>
    <row r="19" spans="1:6" ht="35.25" customHeight="1" x14ac:dyDescent="0.3">
      <c r="B19" s="22"/>
      <c r="C19" s="370" t="s">
        <v>760</v>
      </c>
      <c r="D19" s="370"/>
      <c r="E19" s="35" t="s">
        <v>51</v>
      </c>
      <c r="F19" s="204">
        <f>SUM(F20:F21)</f>
        <v>63</v>
      </c>
    </row>
    <row r="20" spans="1:6" ht="34.5" customHeight="1" x14ac:dyDescent="0.3">
      <c r="B20" s="22"/>
      <c r="C20" s="369" t="s">
        <v>761</v>
      </c>
      <c r="D20" s="369"/>
      <c r="E20" s="35" t="s">
        <v>51</v>
      </c>
      <c r="F20" s="36">
        <v>51</v>
      </c>
    </row>
    <row r="21" spans="1:6" ht="35.25" customHeight="1" x14ac:dyDescent="0.3">
      <c r="B21" s="22"/>
      <c r="C21" s="369" t="s">
        <v>762</v>
      </c>
      <c r="D21" s="369"/>
      <c r="E21" s="35" t="s">
        <v>51</v>
      </c>
      <c r="F21" s="36">
        <v>12</v>
      </c>
    </row>
    <row r="22" spans="1:6" x14ac:dyDescent="0.3">
      <c r="B22" s="22"/>
      <c r="C22" s="199"/>
      <c r="D22" s="199"/>
      <c r="E22" s="22"/>
      <c r="F22" s="23"/>
    </row>
    <row r="23" spans="1:6" x14ac:dyDescent="0.3">
      <c r="B23" s="22"/>
      <c r="C23" s="357"/>
      <c r="D23" s="357"/>
      <c r="E23" s="22"/>
      <c r="F23" s="23"/>
    </row>
    <row r="24" spans="1:6" ht="21" customHeight="1" x14ac:dyDescent="0.3">
      <c r="B24" s="22"/>
      <c r="C24" s="358" t="s">
        <v>113</v>
      </c>
      <c r="D24" s="358"/>
      <c r="E24" s="358"/>
      <c r="F24" s="358"/>
    </row>
    <row r="25" spans="1:6" x14ac:dyDescent="0.3">
      <c r="B25" s="186"/>
      <c r="C25" s="356" t="s">
        <v>215</v>
      </c>
      <c r="D25" s="356"/>
      <c r="E25" s="186"/>
      <c r="F25" s="52"/>
    </row>
    <row r="26" spans="1:6" ht="26.25" customHeight="1" x14ac:dyDescent="0.3">
      <c r="B26" s="191">
        <v>8</v>
      </c>
      <c r="C26" s="353" t="s">
        <v>216</v>
      </c>
      <c r="D26" s="353"/>
      <c r="E26" s="186" t="s">
        <v>7</v>
      </c>
      <c r="F26" s="52">
        <f>61.8+138.4</f>
        <v>200.2</v>
      </c>
    </row>
    <row r="27" spans="1:6" x14ac:dyDescent="0.3">
      <c r="B27" s="186"/>
      <c r="C27" s="351" t="s">
        <v>212</v>
      </c>
      <c r="D27" s="351"/>
      <c r="E27" s="193" t="s">
        <v>6</v>
      </c>
      <c r="F27" s="52">
        <f>F26*11.5</f>
        <v>2302.2999999999997</v>
      </c>
    </row>
    <row r="28" spans="1:6" x14ac:dyDescent="0.3">
      <c r="B28" s="186"/>
      <c r="C28" s="351" t="s">
        <v>198</v>
      </c>
      <c r="D28" s="351"/>
      <c r="E28" s="193" t="s">
        <v>6</v>
      </c>
      <c r="F28" s="52">
        <f>F26*0.25</f>
        <v>50.05</v>
      </c>
    </row>
    <row r="29" spans="1:6" x14ac:dyDescent="0.3">
      <c r="B29" s="186"/>
      <c r="C29" s="351" t="s">
        <v>213</v>
      </c>
      <c r="D29" s="351"/>
      <c r="E29" s="193" t="s">
        <v>6</v>
      </c>
      <c r="F29" s="52">
        <f>F26*0.45</f>
        <v>90.09</v>
      </c>
    </row>
    <row r="30" spans="1:6" x14ac:dyDescent="0.3">
      <c r="B30" s="186"/>
      <c r="C30" s="351" t="s">
        <v>214</v>
      </c>
      <c r="D30" s="351"/>
      <c r="E30" s="193" t="s">
        <v>7</v>
      </c>
      <c r="F30" s="52">
        <f>F26*1.02</f>
        <v>204.20399999999998</v>
      </c>
    </row>
    <row r="31" spans="1:6" x14ac:dyDescent="0.3">
      <c r="B31" s="191">
        <v>9</v>
      </c>
      <c r="C31" s="353" t="s">
        <v>217</v>
      </c>
      <c r="D31" s="353"/>
      <c r="E31" s="186" t="s">
        <v>7</v>
      </c>
      <c r="F31" s="52">
        <f>2.9</f>
        <v>2.9</v>
      </c>
    </row>
    <row r="32" spans="1:6" x14ac:dyDescent="0.3">
      <c r="B32" s="191"/>
      <c r="C32" s="355" t="s">
        <v>218</v>
      </c>
      <c r="D32" s="355"/>
      <c r="E32" s="186" t="s">
        <v>0</v>
      </c>
      <c r="F32" s="52">
        <f>F31*0.1*1.05</f>
        <v>0.30449999999999999</v>
      </c>
    </row>
    <row r="33" spans="2:6" x14ac:dyDescent="0.3">
      <c r="B33" s="191"/>
      <c r="C33" s="355" t="s">
        <v>219</v>
      </c>
      <c r="D33" s="355"/>
      <c r="E33" s="186" t="s">
        <v>0</v>
      </c>
      <c r="F33" s="52">
        <f>F31*0.1*1.02</f>
        <v>0.29580000000000001</v>
      </c>
    </row>
    <row r="34" spans="2:6" x14ac:dyDescent="0.3">
      <c r="B34" s="191"/>
      <c r="C34" s="355" t="s">
        <v>220</v>
      </c>
      <c r="D34" s="355"/>
      <c r="E34" s="186" t="s">
        <v>7</v>
      </c>
      <c r="F34" s="52">
        <f>F31*1.15</f>
        <v>3.3349999999999995</v>
      </c>
    </row>
    <row r="35" spans="2:6" x14ac:dyDescent="0.3">
      <c r="B35" s="191"/>
      <c r="C35" s="355" t="s">
        <v>221</v>
      </c>
      <c r="D35" s="355"/>
      <c r="E35" s="186" t="s">
        <v>0</v>
      </c>
      <c r="F35" s="52">
        <f>F31*0.05</f>
        <v>0.14499999999999999</v>
      </c>
    </row>
    <row r="36" spans="2:6" x14ac:dyDescent="0.3">
      <c r="B36" s="191">
        <v>10</v>
      </c>
      <c r="C36" s="368" t="s">
        <v>222</v>
      </c>
      <c r="D36" s="368"/>
      <c r="E36" s="201" t="s">
        <v>7</v>
      </c>
      <c r="F36" s="202">
        <f>991.8+1758.6</f>
        <v>2750.3999999999996</v>
      </c>
    </row>
    <row r="37" spans="2:6" ht="18.75" customHeight="1" x14ac:dyDescent="0.3">
      <c r="B37" s="191">
        <v>11</v>
      </c>
      <c r="C37" s="369" t="s">
        <v>774</v>
      </c>
      <c r="D37" s="369"/>
      <c r="E37" s="35" t="s">
        <v>51</v>
      </c>
      <c r="F37" s="36">
        <f>38+90+30</f>
        <v>158</v>
      </c>
    </row>
    <row r="38" spans="2:6" ht="18.75" customHeight="1" x14ac:dyDescent="0.3">
      <c r="B38" s="191">
        <v>12</v>
      </c>
      <c r="C38" s="370" t="s">
        <v>760</v>
      </c>
      <c r="D38" s="370"/>
      <c r="E38" s="35" t="s">
        <v>51</v>
      </c>
      <c r="F38" s="204">
        <f>SUM(F39:F41)</f>
        <v>300</v>
      </c>
    </row>
    <row r="39" spans="2:6" ht="27.75" customHeight="1" x14ac:dyDescent="0.3">
      <c r="B39" s="191"/>
      <c r="C39" s="369" t="s">
        <v>761</v>
      </c>
      <c r="D39" s="369"/>
      <c r="E39" s="35" t="s">
        <v>51</v>
      </c>
      <c r="F39" s="36">
        <v>222</v>
      </c>
    </row>
    <row r="40" spans="2:6" ht="33.75" customHeight="1" x14ac:dyDescent="0.3">
      <c r="B40" s="191"/>
      <c r="C40" s="369" t="s">
        <v>763</v>
      </c>
      <c r="D40" s="369"/>
      <c r="E40" s="35" t="s">
        <v>51</v>
      </c>
      <c r="F40" s="36">
        <v>60</v>
      </c>
    </row>
    <row r="41" spans="2:6" ht="39.75" customHeight="1" x14ac:dyDescent="0.3">
      <c r="B41" s="191"/>
      <c r="C41" s="369" t="s">
        <v>764</v>
      </c>
      <c r="D41" s="369"/>
      <c r="E41" s="35" t="s">
        <v>51</v>
      </c>
      <c r="F41" s="36">
        <v>18</v>
      </c>
    </row>
  </sheetData>
  <mergeCells count="42">
    <mergeCell ref="B1:F1"/>
    <mergeCell ref="B3:B4"/>
    <mergeCell ref="C3:D4"/>
    <mergeCell ref="E3:E4"/>
    <mergeCell ref="F3:F4"/>
    <mergeCell ref="B2:F2"/>
    <mergeCell ref="C14:D14"/>
    <mergeCell ref="C6:D6"/>
    <mergeCell ref="C7:D7"/>
    <mergeCell ref="C8:D8"/>
    <mergeCell ref="C5:F5"/>
    <mergeCell ref="C9:D9"/>
    <mergeCell ref="C10:D10"/>
    <mergeCell ref="C11:D11"/>
    <mergeCell ref="C12:D12"/>
    <mergeCell ref="C13:D13"/>
    <mergeCell ref="C20:D20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41:D41"/>
    <mergeCell ref="C30:D30"/>
    <mergeCell ref="C21:D21"/>
    <mergeCell ref="C23:D23"/>
    <mergeCell ref="C24:F24"/>
    <mergeCell ref="C29:D29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</mergeCells>
  <pageMargins left="0.7" right="0.7" top="0.75" bottom="0.75" header="0.3" footer="0.3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E63"/>
  <sheetViews>
    <sheetView zoomScaleNormal="100" workbookViewId="0">
      <selection activeCell="J7" sqref="J7"/>
    </sheetView>
  </sheetViews>
  <sheetFormatPr defaultColWidth="9.140625" defaultRowHeight="15" x14ac:dyDescent="0.25"/>
  <cols>
    <col min="1" max="1" width="6.42578125" style="223" customWidth="1"/>
    <col min="2" max="2" width="9.140625" style="224"/>
    <col min="3" max="3" width="25.7109375" style="224" customWidth="1"/>
    <col min="4" max="4" width="9.140625" style="224" customWidth="1"/>
    <col min="5" max="5" width="9.5703125" style="224" bestFit="1" customWidth="1"/>
    <col min="6" max="16384" width="9.140625" style="45"/>
  </cols>
  <sheetData>
    <row r="1" spans="1:5" s="205" customFormat="1" ht="33.75" customHeight="1" x14ac:dyDescent="0.25">
      <c r="A1" s="391" t="s">
        <v>194</v>
      </c>
      <c r="B1" s="391"/>
      <c r="C1" s="391"/>
      <c r="D1" s="391"/>
      <c r="E1" s="391"/>
    </row>
    <row r="2" spans="1:5" ht="19.5" thickBot="1" x14ac:dyDescent="0.3">
      <c r="A2" s="392" t="s">
        <v>829</v>
      </c>
      <c r="B2" s="392"/>
      <c r="C2" s="392"/>
      <c r="D2" s="392"/>
      <c r="E2" s="392"/>
    </row>
    <row r="3" spans="1:5" ht="15" customHeight="1" x14ac:dyDescent="0.25">
      <c r="A3" s="385" t="s">
        <v>11</v>
      </c>
      <c r="B3" s="387" t="s">
        <v>12</v>
      </c>
      <c r="C3" s="387"/>
      <c r="D3" s="387" t="s">
        <v>13</v>
      </c>
      <c r="E3" s="389" t="s">
        <v>14</v>
      </c>
    </row>
    <row r="4" spans="1:5" ht="30" customHeight="1" thickBot="1" x14ac:dyDescent="0.3">
      <c r="A4" s="386"/>
      <c r="B4" s="388"/>
      <c r="C4" s="388"/>
      <c r="D4" s="388"/>
      <c r="E4" s="390"/>
    </row>
    <row r="5" spans="1:5" ht="30" customHeight="1" x14ac:dyDescent="0.25">
      <c r="A5" s="206"/>
      <c r="B5" s="382" t="s">
        <v>848</v>
      </c>
      <c r="C5" s="382"/>
      <c r="D5" s="232"/>
      <c r="E5" s="233"/>
    </row>
    <row r="6" spans="1:5" ht="29.25" customHeight="1" x14ac:dyDescent="0.25">
      <c r="A6" s="46">
        <v>1</v>
      </c>
      <c r="B6" s="380" t="s">
        <v>824</v>
      </c>
      <c r="C6" s="380"/>
      <c r="D6" s="207" t="s">
        <v>7</v>
      </c>
      <c r="E6" s="208">
        <v>986.8</v>
      </c>
    </row>
    <row r="7" spans="1:5" ht="26.25" customHeight="1" x14ac:dyDescent="0.25">
      <c r="A7" s="46"/>
      <c r="B7" s="381" t="s">
        <v>825</v>
      </c>
      <c r="C7" s="381"/>
      <c r="D7" s="209" t="s">
        <v>7</v>
      </c>
      <c r="E7" s="137">
        <f>1.1*E6</f>
        <v>1085.48</v>
      </c>
    </row>
    <row r="8" spans="1:5" ht="24" customHeight="1" x14ac:dyDescent="0.25">
      <c r="A8" s="46"/>
      <c r="B8" s="381" t="s">
        <v>826</v>
      </c>
      <c r="C8" s="381"/>
      <c r="D8" s="209" t="s">
        <v>6</v>
      </c>
      <c r="E8" s="137">
        <f>0.25*E6</f>
        <v>246.7</v>
      </c>
    </row>
    <row r="9" spans="1:5" ht="19.5" customHeight="1" x14ac:dyDescent="0.25">
      <c r="A9" s="46"/>
      <c r="B9" s="381" t="s">
        <v>827</v>
      </c>
      <c r="C9" s="381"/>
      <c r="D9" s="210" t="s">
        <v>51</v>
      </c>
      <c r="E9" s="137">
        <f>E6*5</f>
        <v>4934</v>
      </c>
    </row>
    <row r="10" spans="1:5" ht="21" customHeight="1" x14ac:dyDescent="0.25">
      <c r="A10" s="46">
        <v>2</v>
      </c>
      <c r="B10" s="380" t="s">
        <v>749</v>
      </c>
      <c r="C10" s="380"/>
      <c r="D10" s="207" t="s">
        <v>7</v>
      </c>
      <c r="E10" s="208">
        <v>986.8</v>
      </c>
    </row>
    <row r="11" spans="1:5" ht="24" customHeight="1" x14ac:dyDescent="0.25">
      <c r="A11" s="46"/>
      <c r="B11" s="381" t="s">
        <v>828</v>
      </c>
      <c r="C11" s="381"/>
      <c r="D11" s="211" t="s">
        <v>7</v>
      </c>
      <c r="E11" s="212">
        <f>1.1*E6</f>
        <v>1085.48</v>
      </c>
    </row>
    <row r="12" spans="1:5" ht="41.25" customHeight="1" x14ac:dyDescent="0.25">
      <c r="A12" s="46">
        <v>3</v>
      </c>
      <c r="B12" s="377" t="s">
        <v>801</v>
      </c>
      <c r="C12" s="377"/>
      <c r="D12" s="207" t="s">
        <v>7</v>
      </c>
      <c r="E12" s="208">
        <f>E6</f>
        <v>986.8</v>
      </c>
    </row>
    <row r="13" spans="1:5" ht="19.5" customHeight="1" x14ac:dyDescent="0.25">
      <c r="A13" s="46"/>
      <c r="B13" s="374" t="s">
        <v>802</v>
      </c>
      <c r="C13" s="374"/>
      <c r="D13" s="213" t="s">
        <v>0</v>
      </c>
      <c r="E13" s="212">
        <f>E6*0.05*1.02</f>
        <v>50.326800000000006</v>
      </c>
    </row>
    <row r="14" spans="1:5" ht="24.75" customHeight="1" x14ac:dyDescent="0.25">
      <c r="A14" s="46"/>
      <c r="B14" s="374" t="s">
        <v>803</v>
      </c>
      <c r="C14" s="374"/>
      <c r="D14" s="214" t="s">
        <v>7</v>
      </c>
      <c r="E14" s="212">
        <f>E12*1.1</f>
        <v>1085.48</v>
      </c>
    </row>
    <row r="15" spans="1:5" ht="57.75" customHeight="1" x14ac:dyDescent="0.25">
      <c r="A15" s="46">
        <v>4</v>
      </c>
      <c r="B15" s="384" t="s">
        <v>822</v>
      </c>
      <c r="C15" s="384"/>
      <c r="D15" s="207" t="s">
        <v>7</v>
      </c>
      <c r="E15" s="208">
        <f>E6</f>
        <v>986.8</v>
      </c>
    </row>
    <row r="16" spans="1:5" ht="30" customHeight="1" x14ac:dyDescent="0.25">
      <c r="A16" s="46"/>
      <c r="B16" s="374" t="s">
        <v>823</v>
      </c>
      <c r="C16" s="374"/>
      <c r="D16" s="213" t="s">
        <v>0</v>
      </c>
      <c r="E16" s="137">
        <f>E6*0.05*1.03</f>
        <v>50.820200000000007</v>
      </c>
    </row>
    <row r="17" spans="1:5" ht="33.75" customHeight="1" x14ac:dyDescent="0.25">
      <c r="A17" s="46">
        <v>5</v>
      </c>
      <c r="B17" s="377" t="s">
        <v>804</v>
      </c>
      <c r="C17" s="377"/>
      <c r="D17" s="207" t="s">
        <v>7</v>
      </c>
      <c r="E17" s="208">
        <f>E15</f>
        <v>986.8</v>
      </c>
    </row>
    <row r="18" spans="1:5" ht="20.25" customHeight="1" x14ac:dyDescent="0.25">
      <c r="A18" s="46"/>
      <c r="B18" s="374" t="s">
        <v>226</v>
      </c>
      <c r="C18" s="374"/>
      <c r="D18" s="213" t="s">
        <v>7</v>
      </c>
      <c r="E18" s="137">
        <f>E6*1.15</f>
        <v>1134.82</v>
      </c>
    </row>
    <row r="19" spans="1:5" ht="30" customHeight="1" x14ac:dyDescent="0.25">
      <c r="A19" s="46"/>
      <c r="B19" s="383" t="s">
        <v>847</v>
      </c>
      <c r="C19" s="383"/>
      <c r="D19" s="213"/>
      <c r="E19" s="137"/>
    </row>
    <row r="20" spans="1:5" ht="30" customHeight="1" x14ac:dyDescent="0.25">
      <c r="A20" s="46">
        <v>6</v>
      </c>
      <c r="B20" s="380" t="s">
        <v>830</v>
      </c>
      <c r="C20" s="380"/>
      <c r="D20" s="215" t="s">
        <v>7</v>
      </c>
      <c r="E20" s="216">
        <v>49</v>
      </c>
    </row>
    <row r="21" spans="1:5" ht="21.75" customHeight="1" x14ac:dyDescent="0.25">
      <c r="A21" s="46"/>
      <c r="B21" s="381" t="s">
        <v>831</v>
      </c>
      <c r="C21" s="381"/>
      <c r="D21" s="209" t="s">
        <v>7</v>
      </c>
      <c r="E21" s="217">
        <f>1.15*E20</f>
        <v>56.349999999999994</v>
      </c>
    </row>
    <row r="22" spans="1:5" ht="21.75" customHeight="1" x14ac:dyDescent="0.25">
      <c r="A22" s="46">
        <v>7</v>
      </c>
      <c r="B22" s="380" t="s">
        <v>832</v>
      </c>
      <c r="C22" s="380"/>
      <c r="D22" s="215" t="s">
        <v>7</v>
      </c>
      <c r="E22" s="216">
        <v>49</v>
      </c>
    </row>
    <row r="23" spans="1:5" ht="18" customHeight="1" x14ac:dyDescent="0.25">
      <c r="A23" s="46"/>
      <c r="B23" s="381" t="s">
        <v>833</v>
      </c>
      <c r="C23" s="381"/>
      <c r="D23" s="209" t="s">
        <v>0</v>
      </c>
      <c r="E23" s="218">
        <f>144*0.025*0.1</f>
        <v>0.36000000000000004</v>
      </c>
    </row>
    <row r="24" spans="1:5" ht="20.25" customHeight="1" x14ac:dyDescent="0.25">
      <c r="A24" s="46"/>
      <c r="B24" s="381" t="s">
        <v>834</v>
      </c>
      <c r="C24" s="381"/>
      <c r="D24" s="209" t="s">
        <v>6</v>
      </c>
      <c r="E24" s="218">
        <v>0.98</v>
      </c>
    </row>
    <row r="25" spans="1:5" ht="27" customHeight="1" x14ac:dyDescent="0.25">
      <c r="A25" s="46">
        <v>8</v>
      </c>
      <c r="B25" s="380" t="s">
        <v>835</v>
      </c>
      <c r="C25" s="380"/>
      <c r="D25" s="215" t="s">
        <v>7</v>
      </c>
      <c r="E25" s="216">
        <v>49</v>
      </c>
    </row>
    <row r="26" spans="1:5" ht="18.75" customHeight="1" x14ac:dyDescent="0.25">
      <c r="A26" s="46"/>
      <c r="B26" s="381" t="s">
        <v>836</v>
      </c>
      <c r="C26" s="381"/>
      <c r="D26" s="209" t="s">
        <v>144</v>
      </c>
      <c r="E26" s="218">
        <f>1.05*E25</f>
        <v>51.45</v>
      </c>
    </row>
    <row r="27" spans="1:5" ht="18.75" customHeight="1" x14ac:dyDescent="0.25">
      <c r="A27" s="46"/>
      <c r="B27" s="381" t="s">
        <v>834</v>
      </c>
      <c r="C27" s="381"/>
      <c r="D27" s="209" t="s">
        <v>6</v>
      </c>
      <c r="E27" s="218">
        <v>0.98</v>
      </c>
    </row>
    <row r="28" spans="1:5" ht="30" customHeight="1" x14ac:dyDescent="0.25">
      <c r="A28" s="46">
        <v>9</v>
      </c>
      <c r="B28" s="377" t="s">
        <v>837</v>
      </c>
      <c r="C28" s="377"/>
      <c r="D28" s="46" t="s">
        <v>7</v>
      </c>
      <c r="E28" s="219">
        <v>49</v>
      </c>
    </row>
    <row r="29" spans="1:5" ht="21.75" customHeight="1" x14ac:dyDescent="0.25">
      <c r="A29" s="46"/>
      <c r="B29" s="374" t="s">
        <v>838</v>
      </c>
      <c r="C29" s="374"/>
      <c r="D29" s="220" t="s">
        <v>7</v>
      </c>
      <c r="E29" s="221">
        <f>E28*1.15</f>
        <v>56.349999999999994</v>
      </c>
    </row>
    <row r="30" spans="1:5" ht="28.5" customHeight="1" x14ac:dyDescent="0.25">
      <c r="A30" s="46">
        <v>10</v>
      </c>
      <c r="B30" s="377" t="s">
        <v>840</v>
      </c>
      <c r="C30" s="377"/>
      <c r="D30" s="46"/>
      <c r="E30" s="219"/>
    </row>
    <row r="31" spans="1:5" ht="30" customHeight="1" x14ac:dyDescent="0.25">
      <c r="A31" s="46">
        <v>11</v>
      </c>
      <c r="B31" s="377" t="s">
        <v>804</v>
      </c>
      <c r="C31" s="377"/>
      <c r="D31" s="46" t="s">
        <v>7</v>
      </c>
      <c r="E31" s="219">
        <v>49</v>
      </c>
    </row>
    <row r="32" spans="1:5" ht="21" customHeight="1" x14ac:dyDescent="0.25">
      <c r="A32" s="46"/>
      <c r="B32" s="374" t="s">
        <v>839</v>
      </c>
      <c r="C32" s="374"/>
      <c r="D32" s="220" t="s">
        <v>7</v>
      </c>
      <c r="E32" s="222">
        <f>E31*1.15</f>
        <v>56.349999999999994</v>
      </c>
    </row>
    <row r="33" spans="1:5" x14ac:dyDescent="0.25">
      <c r="A33" s="46">
        <v>12</v>
      </c>
      <c r="B33" s="393" t="s">
        <v>227</v>
      </c>
      <c r="C33" s="393"/>
      <c r="D33" s="220"/>
      <c r="E33" s="222"/>
    </row>
    <row r="34" spans="1:5" x14ac:dyDescent="0.25">
      <c r="A34" s="46"/>
      <c r="B34" s="378" t="s">
        <v>228</v>
      </c>
      <c r="C34" s="378"/>
      <c r="D34" s="221" t="s">
        <v>8</v>
      </c>
      <c r="E34" s="222">
        <v>6</v>
      </c>
    </row>
    <row r="35" spans="1:5" x14ac:dyDescent="0.25">
      <c r="A35" s="46"/>
      <c r="B35" s="378" t="s">
        <v>229</v>
      </c>
      <c r="C35" s="378"/>
      <c r="D35" s="221" t="s">
        <v>208</v>
      </c>
      <c r="E35" s="222">
        <v>117.6</v>
      </c>
    </row>
    <row r="36" spans="1:5" x14ac:dyDescent="0.25">
      <c r="A36" s="46"/>
      <c r="B36" s="378" t="s">
        <v>230</v>
      </c>
      <c r="C36" s="378"/>
      <c r="D36" s="221" t="s">
        <v>208</v>
      </c>
      <c r="E36" s="222">
        <f>6*14.02</f>
        <v>84.12</v>
      </c>
    </row>
    <row r="37" spans="1:5" ht="27.75" customHeight="1" x14ac:dyDescent="0.25">
      <c r="A37" s="221"/>
      <c r="B37" s="137"/>
      <c r="C37" s="137"/>
      <c r="D37" s="137"/>
      <c r="E37" s="137"/>
    </row>
    <row r="38" spans="1:5" ht="27" customHeight="1" x14ac:dyDescent="0.25">
      <c r="A38" s="46">
        <v>14</v>
      </c>
      <c r="B38" s="377" t="s">
        <v>805</v>
      </c>
      <c r="C38" s="377"/>
      <c r="D38" s="136" t="s">
        <v>8</v>
      </c>
      <c r="E38" s="225">
        <v>100</v>
      </c>
    </row>
    <row r="39" spans="1:5" ht="29.25" customHeight="1" x14ac:dyDescent="0.25">
      <c r="A39" s="221"/>
      <c r="B39" s="374" t="s">
        <v>231</v>
      </c>
      <c r="C39" s="374"/>
      <c r="D39" s="226" t="s">
        <v>8</v>
      </c>
      <c r="E39" s="213">
        <v>100</v>
      </c>
    </row>
    <row r="40" spans="1:5" x14ac:dyDescent="0.25">
      <c r="A40" s="221"/>
      <c r="B40" s="378" t="s">
        <v>232</v>
      </c>
      <c r="C40" s="378"/>
      <c r="D40" s="221" t="s">
        <v>0</v>
      </c>
      <c r="E40" s="137">
        <v>1.24</v>
      </c>
    </row>
    <row r="41" spans="1:5" ht="42.75" customHeight="1" x14ac:dyDescent="0.25">
      <c r="A41" s="46">
        <v>15</v>
      </c>
      <c r="B41" s="377" t="s">
        <v>806</v>
      </c>
      <c r="C41" s="377"/>
      <c r="D41" s="136" t="s">
        <v>7</v>
      </c>
      <c r="E41" s="225">
        <f>97.6*0.6</f>
        <v>58.559999999999995</v>
      </c>
    </row>
    <row r="42" spans="1:5" ht="27.75" customHeight="1" x14ac:dyDescent="0.25">
      <c r="A42" s="221"/>
      <c r="B42" s="374" t="s">
        <v>233</v>
      </c>
      <c r="C42" s="374"/>
      <c r="D42" s="221" t="s">
        <v>7</v>
      </c>
      <c r="E42" s="137">
        <f>97.6*0.6*1.05</f>
        <v>61.488</v>
      </c>
    </row>
    <row r="43" spans="1:5" ht="45.75" customHeight="1" x14ac:dyDescent="0.25">
      <c r="A43" s="221"/>
      <c r="B43" s="374" t="s">
        <v>234</v>
      </c>
      <c r="C43" s="374"/>
      <c r="D43" s="227" t="s">
        <v>8</v>
      </c>
      <c r="E43" s="137">
        <f>16*E41</f>
        <v>936.95999999999992</v>
      </c>
    </row>
    <row r="44" spans="1:5" ht="24.75" customHeight="1" x14ac:dyDescent="0.25">
      <c r="A44" s="46">
        <v>16</v>
      </c>
      <c r="B44" s="377" t="s">
        <v>807</v>
      </c>
      <c r="C44" s="377"/>
      <c r="D44" s="136" t="s">
        <v>7</v>
      </c>
      <c r="E44" s="228">
        <f>E42*0.88</f>
        <v>54.109439999999999</v>
      </c>
    </row>
    <row r="45" spans="1:5" ht="33.75" customHeight="1" x14ac:dyDescent="0.25">
      <c r="A45" s="221"/>
      <c r="B45" s="374" t="s">
        <v>808</v>
      </c>
      <c r="C45" s="374"/>
      <c r="D45" s="227" t="s">
        <v>6</v>
      </c>
      <c r="E45" s="229">
        <f>E44*20</f>
        <v>1082.1887999999999</v>
      </c>
    </row>
    <row r="46" spans="1:5" ht="20.25" customHeight="1" x14ac:dyDescent="0.25">
      <c r="A46" s="221"/>
      <c r="B46" s="374" t="s">
        <v>809</v>
      </c>
      <c r="C46" s="374"/>
      <c r="D46" s="227" t="s">
        <v>53</v>
      </c>
      <c r="E46" s="229">
        <f>0.2*E44</f>
        <v>10.821888000000001</v>
      </c>
    </row>
    <row r="47" spans="1:5" ht="23.25" customHeight="1" x14ac:dyDescent="0.25">
      <c r="A47" s="221"/>
      <c r="B47" s="374" t="s">
        <v>810</v>
      </c>
      <c r="C47" s="374"/>
      <c r="D47" s="227" t="s">
        <v>8</v>
      </c>
      <c r="E47" s="229">
        <v>55</v>
      </c>
    </row>
    <row r="48" spans="1:5" x14ac:dyDescent="0.25">
      <c r="A48" s="221"/>
      <c r="B48" s="379" t="s">
        <v>235</v>
      </c>
      <c r="C48" s="379"/>
      <c r="D48" s="137"/>
      <c r="E48" s="137"/>
    </row>
    <row r="49" spans="1:5" ht="29.25" customHeight="1" x14ac:dyDescent="0.25">
      <c r="A49" s="221">
        <v>17</v>
      </c>
      <c r="B49" s="377" t="s">
        <v>821</v>
      </c>
      <c r="C49" s="377"/>
      <c r="D49" s="144" t="s">
        <v>1</v>
      </c>
      <c r="E49" s="231">
        <f>0.148+0.015+0.203+0.006</f>
        <v>0.372</v>
      </c>
    </row>
    <row r="50" spans="1:5" ht="15.75" x14ac:dyDescent="0.25">
      <c r="A50" s="221"/>
      <c r="B50" s="374" t="s">
        <v>92</v>
      </c>
      <c r="C50" s="374"/>
      <c r="D50" s="127" t="s">
        <v>1</v>
      </c>
      <c r="E50" s="128">
        <f>147.75*1.03/1000</f>
        <v>0.1521825</v>
      </c>
    </row>
    <row r="51" spans="1:5" ht="15.75" x14ac:dyDescent="0.25">
      <c r="A51" s="221"/>
      <c r="B51" s="374" t="s">
        <v>93</v>
      </c>
      <c r="C51" s="374"/>
      <c r="D51" s="127" t="s">
        <v>1</v>
      </c>
      <c r="E51" s="128">
        <f>14.65*1.03/1000</f>
        <v>1.50895E-2</v>
      </c>
    </row>
    <row r="52" spans="1:5" ht="15.75" x14ac:dyDescent="0.25">
      <c r="A52" s="221"/>
      <c r="B52" s="374" t="s">
        <v>88</v>
      </c>
      <c r="C52" s="374"/>
      <c r="D52" s="127" t="s">
        <v>1</v>
      </c>
      <c r="E52" s="128">
        <f>(150.67+5.38+5.07+3.09+1.11+1.68+20.16+15.8)*1.03/1000</f>
        <v>0.20904880000000001</v>
      </c>
    </row>
    <row r="53" spans="1:5" ht="15.75" x14ac:dyDescent="0.25">
      <c r="A53" s="221"/>
      <c r="B53" s="374" t="s">
        <v>72</v>
      </c>
      <c r="C53" s="374"/>
      <c r="D53" s="127" t="s">
        <v>1</v>
      </c>
      <c r="E53" s="128">
        <f>(2.04+3.52)*1.03/1000</f>
        <v>5.7268000000000006E-3</v>
      </c>
    </row>
    <row r="54" spans="1:5" ht="15.75" x14ac:dyDescent="0.25">
      <c r="A54" s="221"/>
      <c r="B54" s="374" t="s">
        <v>156</v>
      </c>
      <c r="C54" s="374"/>
      <c r="D54" s="127" t="s">
        <v>6</v>
      </c>
      <c r="E54" s="230">
        <f>E49*2.5%*1000</f>
        <v>9.3000000000000007</v>
      </c>
    </row>
    <row r="55" spans="1:5" ht="15.75" x14ac:dyDescent="0.25">
      <c r="A55" s="221"/>
      <c r="B55" s="374" t="s">
        <v>94</v>
      </c>
      <c r="C55" s="374"/>
      <c r="D55" s="127" t="s">
        <v>8</v>
      </c>
      <c r="E55" s="127">
        <v>16</v>
      </c>
    </row>
    <row r="56" spans="1:5" ht="25.5" customHeight="1" x14ac:dyDescent="0.25">
      <c r="A56" s="221">
        <v>18</v>
      </c>
      <c r="B56" s="377" t="s">
        <v>790</v>
      </c>
      <c r="C56" s="377"/>
      <c r="D56" s="144" t="s">
        <v>7</v>
      </c>
      <c r="E56" s="231">
        <v>48.29</v>
      </c>
    </row>
    <row r="57" spans="1:5" ht="33" customHeight="1" x14ac:dyDescent="0.25">
      <c r="A57" s="221"/>
      <c r="B57" s="374" t="s">
        <v>100</v>
      </c>
      <c r="C57" s="374"/>
      <c r="D57" s="127" t="s">
        <v>7</v>
      </c>
      <c r="E57" s="127">
        <f>1.05*48.29</f>
        <v>50.704500000000003</v>
      </c>
    </row>
    <row r="58" spans="1:5" ht="15.75" x14ac:dyDescent="0.25">
      <c r="A58" s="221">
        <v>19</v>
      </c>
      <c r="B58" s="377" t="s">
        <v>798</v>
      </c>
      <c r="C58" s="377"/>
      <c r="D58" s="144" t="s">
        <v>1</v>
      </c>
      <c r="E58" s="231">
        <f>E59+E60</f>
        <v>0.48730329999999999</v>
      </c>
    </row>
    <row r="59" spans="1:5" ht="15.75" x14ac:dyDescent="0.25">
      <c r="A59" s="221"/>
      <c r="B59" s="374" t="s">
        <v>141</v>
      </c>
      <c r="C59" s="374"/>
      <c r="D59" s="127" t="s">
        <v>1</v>
      </c>
      <c r="E59" s="128">
        <f>1.03*(239.04+123.58+43.29+11.45+30.08+5.24+10.16)/1000</f>
        <v>0.47672520000000002</v>
      </c>
    </row>
    <row r="60" spans="1:5" ht="15" customHeight="1" x14ac:dyDescent="0.25">
      <c r="A60" s="221"/>
      <c r="B60" s="374" t="s">
        <v>142</v>
      </c>
      <c r="C60" s="374"/>
      <c r="D60" s="127" t="s">
        <v>1</v>
      </c>
      <c r="E60" s="128">
        <f>1.03*(3.73+6.54)/1000</f>
        <v>1.05781E-2</v>
      </c>
    </row>
    <row r="61" spans="1:5" ht="15" customHeight="1" x14ac:dyDescent="0.25">
      <c r="A61" s="221"/>
      <c r="B61" s="374" t="s">
        <v>156</v>
      </c>
      <c r="C61" s="374"/>
      <c r="D61" s="127" t="s">
        <v>6</v>
      </c>
      <c r="E61" s="230">
        <f>E58*2.5%*1000</f>
        <v>12.182582500000001</v>
      </c>
    </row>
    <row r="62" spans="1:5" x14ac:dyDescent="0.25">
      <c r="A62" s="221">
        <v>20</v>
      </c>
      <c r="B62" s="375" t="s">
        <v>770</v>
      </c>
      <c r="C62" s="375"/>
      <c r="D62" s="130" t="s">
        <v>7</v>
      </c>
      <c r="E62" s="131">
        <v>54</v>
      </c>
    </row>
    <row r="63" spans="1:5" x14ac:dyDescent="0.25">
      <c r="A63" s="221"/>
      <c r="B63" s="376" t="s">
        <v>771</v>
      </c>
      <c r="C63" s="376"/>
      <c r="D63" s="134" t="s">
        <v>7</v>
      </c>
      <c r="E63" s="135">
        <v>54</v>
      </c>
    </row>
  </sheetData>
  <mergeCells count="64">
    <mergeCell ref="B31:C31"/>
    <mergeCell ref="B32:C32"/>
    <mergeCell ref="B33:C33"/>
    <mergeCell ref="B34:C34"/>
    <mergeCell ref="B35:C35"/>
    <mergeCell ref="B21:C21"/>
    <mergeCell ref="B22:C22"/>
    <mergeCell ref="B23:C23"/>
    <mergeCell ref="B29:C29"/>
    <mergeCell ref="B30:C30"/>
    <mergeCell ref="B24:C24"/>
    <mergeCell ref="B25:C25"/>
    <mergeCell ref="B26:C26"/>
    <mergeCell ref="B27:C27"/>
    <mergeCell ref="B28:C28"/>
    <mergeCell ref="A3:A4"/>
    <mergeCell ref="B3:C4"/>
    <mergeCell ref="D3:D4"/>
    <mergeCell ref="E3:E4"/>
    <mergeCell ref="A1:E1"/>
    <mergeCell ref="A2:E2"/>
    <mergeCell ref="B10:C10"/>
    <mergeCell ref="B11:C11"/>
    <mergeCell ref="B5:C5"/>
    <mergeCell ref="B19:C19"/>
    <mergeCell ref="B20:C20"/>
    <mergeCell ref="B6:C6"/>
    <mergeCell ref="B8:C8"/>
    <mergeCell ref="B13:C13"/>
    <mergeCell ref="B15:C15"/>
    <mergeCell ref="B16:C16"/>
    <mergeCell ref="B18:C18"/>
    <mergeCell ref="B9:C9"/>
    <mergeCell ref="B7:C7"/>
    <mergeCell ref="B12:C12"/>
    <mergeCell ref="B14:C14"/>
    <mergeCell ref="B17:C17"/>
    <mergeCell ref="B48:C48"/>
    <mergeCell ref="B39:C39"/>
    <mergeCell ref="B40:C40"/>
    <mergeCell ref="B41:C41"/>
    <mergeCell ref="B42:C42"/>
    <mergeCell ref="B47:C47"/>
    <mergeCell ref="B44:C44"/>
    <mergeCell ref="B36:C36"/>
    <mergeCell ref="B43:C43"/>
    <mergeCell ref="B38:C38"/>
    <mergeCell ref="B45:C45"/>
    <mergeCell ref="B46:C46"/>
    <mergeCell ref="B55:C55"/>
    <mergeCell ref="B56:C56"/>
    <mergeCell ref="B49:C49"/>
    <mergeCell ref="B50:C50"/>
    <mergeCell ref="B51:C51"/>
    <mergeCell ref="B52:C52"/>
    <mergeCell ref="B53:C53"/>
    <mergeCell ref="B54:C54"/>
    <mergeCell ref="B61:C61"/>
    <mergeCell ref="B62:C62"/>
    <mergeCell ref="B63:C63"/>
    <mergeCell ref="B57:C57"/>
    <mergeCell ref="B58:C58"/>
    <mergeCell ref="B59:C59"/>
    <mergeCell ref="B60:C60"/>
  </mergeCells>
  <pageMargins left="0.7" right="0.7" top="0.75" bottom="0.75" header="0.3" footer="0.3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F136"/>
  <sheetViews>
    <sheetView zoomScaleNormal="100" workbookViewId="0">
      <selection activeCell="C9" sqref="C9:D9"/>
    </sheetView>
  </sheetViews>
  <sheetFormatPr defaultRowHeight="15.75" x14ac:dyDescent="0.25"/>
  <cols>
    <col min="1" max="1" width="3.140625" style="250" customWidth="1"/>
    <col min="2" max="2" width="6.140625" style="250" customWidth="1"/>
    <col min="3" max="3" width="10.28515625" style="250" customWidth="1"/>
    <col min="4" max="4" width="33.7109375" style="250" customWidth="1"/>
    <col min="5" max="5" width="10.42578125" style="250" customWidth="1"/>
    <col min="6" max="6" width="15.7109375" style="14" customWidth="1"/>
    <col min="7" max="232" width="9.140625" style="250"/>
    <col min="233" max="233" width="3.140625" style="250" customWidth="1"/>
    <col min="234" max="234" width="6.140625" style="250" customWidth="1"/>
    <col min="235" max="235" width="10.28515625" style="250" customWidth="1"/>
    <col min="236" max="236" width="34.140625" style="250" customWidth="1"/>
    <col min="237" max="237" width="9.28515625" style="250" customWidth="1"/>
    <col min="238" max="239" width="12.140625" style="250" customWidth="1"/>
    <col min="240" max="250" width="9.85546875" style="250" customWidth="1"/>
    <col min="251" max="251" width="11.5703125" style="250" customWidth="1"/>
    <col min="252" max="252" width="12.7109375" style="250" customWidth="1"/>
    <col min="253" max="253" width="9.140625" style="250"/>
    <col min="254" max="254" width="11.42578125" style="250" customWidth="1"/>
    <col min="255" max="488" width="9.140625" style="250"/>
    <col min="489" max="489" width="3.140625" style="250" customWidth="1"/>
    <col min="490" max="490" width="6.140625" style="250" customWidth="1"/>
    <col min="491" max="491" width="10.28515625" style="250" customWidth="1"/>
    <col min="492" max="492" width="34.140625" style="250" customWidth="1"/>
    <col min="493" max="493" width="9.28515625" style="250" customWidth="1"/>
    <col min="494" max="495" width="12.140625" style="250" customWidth="1"/>
    <col min="496" max="506" width="9.85546875" style="250" customWidth="1"/>
    <col min="507" max="507" width="11.5703125" style="250" customWidth="1"/>
    <col min="508" max="508" width="12.7109375" style="250" customWidth="1"/>
    <col min="509" max="509" width="9.140625" style="250"/>
    <col min="510" max="510" width="11.42578125" style="250" customWidth="1"/>
    <col min="511" max="744" width="9.140625" style="250"/>
    <col min="745" max="745" width="3.140625" style="250" customWidth="1"/>
    <col min="746" max="746" width="6.140625" style="250" customWidth="1"/>
    <col min="747" max="747" width="10.28515625" style="250" customWidth="1"/>
    <col min="748" max="748" width="34.140625" style="250" customWidth="1"/>
    <col min="749" max="749" width="9.28515625" style="250" customWidth="1"/>
    <col min="750" max="751" width="12.140625" style="250" customWidth="1"/>
    <col min="752" max="762" width="9.85546875" style="250" customWidth="1"/>
    <col min="763" max="763" width="11.5703125" style="250" customWidth="1"/>
    <col min="764" max="764" width="12.7109375" style="250" customWidth="1"/>
    <col min="765" max="765" width="9.140625" style="250"/>
    <col min="766" max="766" width="11.42578125" style="250" customWidth="1"/>
    <col min="767" max="1000" width="9.140625" style="250"/>
    <col min="1001" max="1001" width="3.140625" style="250" customWidth="1"/>
    <col min="1002" max="1002" width="6.140625" style="250" customWidth="1"/>
    <col min="1003" max="1003" width="10.28515625" style="250" customWidth="1"/>
    <col min="1004" max="1004" width="34.140625" style="250" customWidth="1"/>
    <col min="1005" max="1005" width="9.28515625" style="250" customWidth="1"/>
    <col min="1006" max="1007" width="12.140625" style="250" customWidth="1"/>
    <col min="1008" max="1018" width="9.85546875" style="250" customWidth="1"/>
    <col min="1019" max="1019" width="11.5703125" style="250" customWidth="1"/>
    <col min="1020" max="1020" width="12.7109375" style="250" customWidth="1"/>
    <col min="1021" max="1021" width="9.140625" style="250"/>
    <col min="1022" max="1022" width="11.42578125" style="250" customWidth="1"/>
    <col min="1023" max="1256" width="9.140625" style="250"/>
    <col min="1257" max="1257" width="3.140625" style="250" customWidth="1"/>
    <col min="1258" max="1258" width="6.140625" style="250" customWidth="1"/>
    <col min="1259" max="1259" width="10.28515625" style="250" customWidth="1"/>
    <col min="1260" max="1260" width="34.140625" style="250" customWidth="1"/>
    <col min="1261" max="1261" width="9.28515625" style="250" customWidth="1"/>
    <col min="1262" max="1263" width="12.140625" style="250" customWidth="1"/>
    <col min="1264" max="1274" width="9.85546875" style="250" customWidth="1"/>
    <col min="1275" max="1275" width="11.5703125" style="250" customWidth="1"/>
    <col min="1276" max="1276" width="12.7109375" style="250" customWidth="1"/>
    <col min="1277" max="1277" width="9.140625" style="250"/>
    <col min="1278" max="1278" width="11.42578125" style="250" customWidth="1"/>
    <col min="1279" max="1512" width="9.140625" style="250"/>
    <col min="1513" max="1513" width="3.140625" style="250" customWidth="1"/>
    <col min="1514" max="1514" width="6.140625" style="250" customWidth="1"/>
    <col min="1515" max="1515" width="10.28515625" style="250" customWidth="1"/>
    <col min="1516" max="1516" width="34.140625" style="250" customWidth="1"/>
    <col min="1517" max="1517" width="9.28515625" style="250" customWidth="1"/>
    <col min="1518" max="1519" width="12.140625" style="250" customWidth="1"/>
    <col min="1520" max="1530" width="9.85546875" style="250" customWidth="1"/>
    <col min="1531" max="1531" width="11.5703125" style="250" customWidth="1"/>
    <col min="1532" max="1532" width="12.7109375" style="250" customWidth="1"/>
    <col min="1533" max="1533" width="9.140625" style="250"/>
    <col min="1534" max="1534" width="11.42578125" style="250" customWidth="1"/>
    <col min="1535" max="1768" width="9.140625" style="250"/>
    <col min="1769" max="1769" width="3.140625" style="250" customWidth="1"/>
    <col min="1770" max="1770" width="6.140625" style="250" customWidth="1"/>
    <col min="1771" max="1771" width="10.28515625" style="250" customWidth="1"/>
    <col min="1772" max="1772" width="34.140625" style="250" customWidth="1"/>
    <col min="1773" max="1773" width="9.28515625" style="250" customWidth="1"/>
    <col min="1774" max="1775" width="12.140625" style="250" customWidth="1"/>
    <col min="1776" max="1786" width="9.85546875" style="250" customWidth="1"/>
    <col min="1787" max="1787" width="11.5703125" style="250" customWidth="1"/>
    <col min="1788" max="1788" width="12.7109375" style="250" customWidth="1"/>
    <col min="1789" max="1789" width="9.140625" style="250"/>
    <col min="1790" max="1790" width="11.42578125" style="250" customWidth="1"/>
    <col min="1791" max="2024" width="9.140625" style="250"/>
    <col min="2025" max="2025" width="3.140625" style="250" customWidth="1"/>
    <col min="2026" max="2026" width="6.140625" style="250" customWidth="1"/>
    <col min="2027" max="2027" width="10.28515625" style="250" customWidth="1"/>
    <col min="2028" max="2028" width="34.140625" style="250" customWidth="1"/>
    <col min="2029" max="2029" width="9.28515625" style="250" customWidth="1"/>
    <col min="2030" max="2031" width="12.140625" style="250" customWidth="1"/>
    <col min="2032" max="2042" width="9.85546875" style="250" customWidth="1"/>
    <col min="2043" max="2043" width="11.5703125" style="250" customWidth="1"/>
    <col min="2044" max="2044" width="12.7109375" style="250" customWidth="1"/>
    <col min="2045" max="2045" width="9.140625" style="250"/>
    <col min="2046" max="2046" width="11.42578125" style="250" customWidth="1"/>
    <col min="2047" max="2280" width="9.140625" style="250"/>
    <col min="2281" max="2281" width="3.140625" style="250" customWidth="1"/>
    <col min="2282" max="2282" width="6.140625" style="250" customWidth="1"/>
    <col min="2283" max="2283" width="10.28515625" style="250" customWidth="1"/>
    <col min="2284" max="2284" width="34.140625" style="250" customWidth="1"/>
    <col min="2285" max="2285" width="9.28515625" style="250" customWidth="1"/>
    <col min="2286" max="2287" width="12.140625" style="250" customWidth="1"/>
    <col min="2288" max="2298" width="9.85546875" style="250" customWidth="1"/>
    <col min="2299" max="2299" width="11.5703125" style="250" customWidth="1"/>
    <col min="2300" max="2300" width="12.7109375" style="250" customWidth="1"/>
    <col min="2301" max="2301" width="9.140625" style="250"/>
    <col min="2302" max="2302" width="11.42578125" style="250" customWidth="1"/>
    <col min="2303" max="2536" width="9.140625" style="250"/>
    <col min="2537" max="2537" width="3.140625" style="250" customWidth="1"/>
    <col min="2538" max="2538" width="6.140625" style="250" customWidth="1"/>
    <col min="2539" max="2539" width="10.28515625" style="250" customWidth="1"/>
    <col min="2540" max="2540" width="34.140625" style="250" customWidth="1"/>
    <col min="2541" max="2541" width="9.28515625" style="250" customWidth="1"/>
    <col min="2542" max="2543" width="12.140625" style="250" customWidth="1"/>
    <col min="2544" max="2554" width="9.85546875" style="250" customWidth="1"/>
    <col min="2555" max="2555" width="11.5703125" style="250" customWidth="1"/>
    <col min="2556" max="2556" width="12.7109375" style="250" customWidth="1"/>
    <col min="2557" max="2557" width="9.140625" style="250"/>
    <col min="2558" max="2558" width="11.42578125" style="250" customWidth="1"/>
    <col min="2559" max="2792" width="9.140625" style="250"/>
    <col min="2793" max="2793" width="3.140625" style="250" customWidth="1"/>
    <col min="2794" max="2794" width="6.140625" style="250" customWidth="1"/>
    <col min="2795" max="2795" width="10.28515625" style="250" customWidth="1"/>
    <col min="2796" max="2796" width="34.140625" style="250" customWidth="1"/>
    <col min="2797" max="2797" width="9.28515625" style="250" customWidth="1"/>
    <col min="2798" max="2799" width="12.140625" style="250" customWidth="1"/>
    <col min="2800" max="2810" width="9.85546875" style="250" customWidth="1"/>
    <col min="2811" max="2811" width="11.5703125" style="250" customWidth="1"/>
    <col min="2812" max="2812" width="12.7109375" style="250" customWidth="1"/>
    <col min="2813" max="2813" width="9.140625" style="250"/>
    <col min="2814" max="2814" width="11.42578125" style="250" customWidth="1"/>
    <col min="2815" max="3048" width="9.140625" style="250"/>
    <col min="3049" max="3049" width="3.140625" style="250" customWidth="1"/>
    <col min="3050" max="3050" width="6.140625" style="250" customWidth="1"/>
    <col min="3051" max="3051" width="10.28515625" style="250" customWidth="1"/>
    <col min="3052" max="3052" width="34.140625" style="250" customWidth="1"/>
    <col min="3053" max="3053" width="9.28515625" style="250" customWidth="1"/>
    <col min="3054" max="3055" width="12.140625" style="250" customWidth="1"/>
    <col min="3056" max="3066" width="9.85546875" style="250" customWidth="1"/>
    <col min="3067" max="3067" width="11.5703125" style="250" customWidth="1"/>
    <col min="3068" max="3068" width="12.7109375" style="250" customWidth="1"/>
    <col min="3069" max="3069" width="9.140625" style="250"/>
    <col min="3070" max="3070" width="11.42578125" style="250" customWidth="1"/>
    <col min="3071" max="3304" width="9.140625" style="250"/>
    <col min="3305" max="3305" width="3.140625" style="250" customWidth="1"/>
    <col min="3306" max="3306" width="6.140625" style="250" customWidth="1"/>
    <col min="3307" max="3307" width="10.28515625" style="250" customWidth="1"/>
    <col min="3308" max="3308" width="34.140625" style="250" customWidth="1"/>
    <col min="3309" max="3309" width="9.28515625" style="250" customWidth="1"/>
    <col min="3310" max="3311" width="12.140625" style="250" customWidth="1"/>
    <col min="3312" max="3322" width="9.85546875" style="250" customWidth="1"/>
    <col min="3323" max="3323" width="11.5703125" style="250" customWidth="1"/>
    <col min="3324" max="3324" width="12.7109375" style="250" customWidth="1"/>
    <col min="3325" max="3325" width="9.140625" style="250"/>
    <col min="3326" max="3326" width="11.42578125" style="250" customWidth="1"/>
    <col min="3327" max="3560" width="9.140625" style="250"/>
    <col min="3561" max="3561" width="3.140625" style="250" customWidth="1"/>
    <col min="3562" max="3562" width="6.140625" style="250" customWidth="1"/>
    <col min="3563" max="3563" width="10.28515625" style="250" customWidth="1"/>
    <col min="3564" max="3564" width="34.140625" style="250" customWidth="1"/>
    <col min="3565" max="3565" width="9.28515625" style="250" customWidth="1"/>
    <col min="3566" max="3567" width="12.140625" style="250" customWidth="1"/>
    <col min="3568" max="3578" width="9.85546875" style="250" customWidth="1"/>
    <col min="3579" max="3579" width="11.5703125" style="250" customWidth="1"/>
    <col min="3580" max="3580" width="12.7109375" style="250" customWidth="1"/>
    <col min="3581" max="3581" width="9.140625" style="250"/>
    <col min="3582" max="3582" width="11.42578125" style="250" customWidth="1"/>
    <col min="3583" max="3816" width="9.140625" style="250"/>
    <col min="3817" max="3817" width="3.140625" style="250" customWidth="1"/>
    <col min="3818" max="3818" width="6.140625" style="250" customWidth="1"/>
    <col min="3819" max="3819" width="10.28515625" style="250" customWidth="1"/>
    <col min="3820" max="3820" width="34.140625" style="250" customWidth="1"/>
    <col min="3821" max="3821" width="9.28515625" style="250" customWidth="1"/>
    <col min="3822" max="3823" width="12.140625" style="250" customWidth="1"/>
    <col min="3824" max="3834" width="9.85546875" style="250" customWidth="1"/>
    <col min="3835" max="3835" width="11.5703125" style="250" customWidth="1"/>
    <col min="3836" max="3836" width="12.7109375" style="250" customWidth="1"/>
    <col min="3837" max="3837" width="9.140625" style="250"/>
    <col min="3838" max="3838" width="11.42578125" style="250" customWidth="1"/>
    <col min="3839" max="4072" width="9.140625" style="250"/>
    <col min="4073" max="4073" width="3.140625" style="250" customWidth="1"/>
    <col min="4074" max="4074" width="6.140625" style="250" customWidth="1"/>
    <col min="4075" max="4075" width="10.28515625" style="250" customWidth="1"/>
    <col min="4076" max="4076" width="34.140625" style="250" customWidth="1"/>
    <col min="4077" max="4077" width="9.28515625" style="250" customWidth="1"/>
    <col min="4078" max="4079" width="12.140625" style="250" customWidth="1"/>
    <col min="4080" max="4090" width="9.85546875" style="250" customWidth="1"/>
    <col min="4091" max="4091" width="11.5703125" style="250" customWidth="1"/>
    <col min="4092" max="4092" width="12.7109375" style="250" customWidth="1"/>
    <col min="4093" max="4093" width="9.140625" style="250"/>
    <col min="4094" max="4094" width="11.42578125" style="250" customWidth="1"/>
    <col min="4095" max="4328" width="9.140625" style="250"/>
    <col min="4329" max="4329" width="3.140625" style="250" customWidth="1"/>
    <col min="4330" max="4330" width="6.140625" style="250" customWidth="1"/>
    <col min="4331" max="4331" width="10.28515625" style="250" customWidth="1"/>
    <col min="4332" max="4332" width="34.140625" style="250" customWidth="1"/>
    <col min="4333" max="4333" width="9.28515625" style="250" customWidth="1"/>
    <col min="4334" max="4335" width="12.140625" style="250" customWidth="1"/>
    <col min="4336" max="4346" width="9.85546875" style="250" customWidth="1"/>
    <col min="4347" max="4347" width="11.5703125" style="250" customWidth="1"/>
    <col min="4348" max="4348" width="12.7109375" style="250" customWidth="1"/>
    <col min="4349" max="4349" width="9.140625" style="250"/>
    <col min="4350" max="4350" width="11.42578125" style="250" customWidth="1"/>
    <col min="4351" max="4584" width="9.140625" style="250"/>
    <col min="4585" max="4585" width="3.140625" style="250" customWidth="1"/>
    <col min="4586" max="4586" width="6.140625" style="250" customWidth="1"/>
    <col min="4587" max="4587" width="10.28515625" style="250" customWidth="1"/>
    <col min="4588" max="4588" width="34.140625" style="250" customWidth="1"/>
    <col min="4589" max="4589" width="9.28515625" style="250" customWidth="1"/>
    <col min="4590" max="4591" width="12.140625" style="250" customWidth="1"/>
    <col min="4592" max="4602" width="9.85546875" style="250" customWidth="1"/>
    <col min="4603" max="4603" width="11.5703125" style="250" customWidth="1"/>
    <col min="4604" max="4604" width="12.7109375" style="250" customWidth="1"/>
    <col min="4605" max="4605" width="9.140625" style="250"/>
    <col min="4606" max="4606" width="11.42578125" style="250" customWidth="1"/>
    <col min="4607" max="4840" width="9.140625" style="250"/>
    <col min="4841" max="4841" width="3.140625" style="250" customWidth="1"/>
    <col min="4842" max="4842" width="6.140625" style="250" customWidth="1"/>
    <col min="4843" max="4843" width="10.28515625" style="250" customWidth="1"/>
    <col min="4844" max="4844" width="34.140625" style="250" customWidth="1"/>
    <col min="4845" max="4845" width="9.28515625" style="250" customWidth="1"/>
    <col min="4846" max="4847" width="12.140625" style="250" customWidth="1"/>
    <col min="4848" max="4858" width="9.85546875" style="250" customWidth="1"/>
    <col min="4859" max="4859" width="11.5703125" style="250" customWidth="1"/>
    <col min="4860" max="4860" width="12.7109375" style="250" customWidth="1"/>
    <col min="4861" max="4861" width="9.140625" style="250"/>
    <col min="4862" max="4862" width="11.42578125" style="250" customWidth="1"/>
    <col min="4863" max="5096" width="9.140625" style="250"/>
    <col min="5097" max="5097" width="3.140625" style="250" customWidth="1"/>
    <col min="5098" max="5098" width="6.140625" style="250" customWidth="1"/>
    <col min="5099" max="5099" width="10.28515625" style="250" customWidth="1"/>
    <col min="5100" max="5100" width="34.140625" style="250" customWidth="1"/>
    <col min="5101" max="5101" width="9.28515625" style="250" customWidth="1"/>
    <col min="5102" max="5103" width="12.140625" style="250" customWidth="1"/>
    <col min="5104" max="5114" width="9.85546875" style="250" customWidth="1"/>
    <col min="5115" max="5115" width="11.5703125" style="250" customWidth="1"/>
    <col min="5116" max="5116" width="12.7109375" style="250" customWidth="1"/>
    <col min="5117" max="5117" width="9.140625" style="250"/>
    <col min="5118" max="5118" width="11.42578125" style="250" customWidth="1"/>
    <col min="5119" max="5352" width="9.140625" style="250"/>
    <col min="5353" max="5353" width="3.140625" style="250" customWidth="1"/>
    <col min="5354" max="5354" width="6.140625" style="250" customWidth="1"/>
    <col min="5355" max="5355" width="10.28515625" style="250" customWidth="1"/>
    <col min="5356" max="5356" width="34.140625" style="250" customWidth="1"/>
    <col min="5357" max="5357" width="9.28515625" style="250" customWidth="1"/>
    <col min="5358" max="5359" width="12.140625" style="250" customWidth="1"/>
    <col min="5360" max="5370" width="9.85546875" style="250" customWidth="1"/>
    <col min="5371" max="5371" width="11.5703125" style="250" customWidth="1"/>
    <col min="5372" max="5372" width="12.7109375" style="250" customWidth="1"/>
    <col min="5373" max="5373" width="9.140625" style="250"/>
    <col min="5374" max="5374" width="11.42578125" style="250" customWidth="1"/>
    <col min="5375" max="5608" width="9.140625" style="250"/>
    <col min="5609" max="5609" width="3.140625" style="250" customWidth="1"/>
    <col min="5610" max="5610" width="6.140625" style="250" customWidth="1"/>
    <col min="5611" max="5611" width="10.28515625" style="250" customWidth="1"/>
    <col min="5612" max="5612" width="34.140625" style="250" customWidth="1"/>
    <col min="5613" max="5613" width="9.28515625" style="250" customWidth="1"/>
    <col min="5614" max="5615" width="12.140625" style="250" customWidth="1"/>
    <col min="5616" max="5626" width="9.85546875" style="250" customWidth="1"/>
    <col min="5627" max="5627" width="11.5703125" style="250" customWidth="1"/>
    <col min="5628" max="5628" width="12.7109375" style="250" customWidth="1"/>
    <col min="5629" max="5629" width="9.140625" style="250"/>
    <col min="5630" max="5630" width="11.42578125" style="250" customWidth="1"/>
    <col min="5631" max="5864" width="9.140625" style="250"/>
    <col min="5865" max="5865" width="3.140625" style="250" customWidth="1"/>
    <col min="5866" max="5866" width="6.140625" style="250" customWidth="1"/>
    <col min="5867" max="5867" width="10.28515625" style="250" customWidth="1"/>
    <col min="5868" max="5868" width="34.140625" style="250" customWidth="1"/>
    <col min="5869" max="5869" width="9.28515625" style="250" customWidth="1"/>
    <col min="5870" max="5871" width="12.140625" style="250" customWidth="1"/>
    <col min="5872" max="5882" width="9.85546875" style="250" customWidth="1"/>
    <col min="5883" max="5883" width="11.5703125" style="250" customWidth="1"/>
    <col min="5884" max="5884" width="12.7109375" style="250" customWidth="1"/>
    <col min="5885" max="5885" width="9.140625" style="250"/>
    <col min="5886" max="5886" width="11.42578125" style="250" customWidth="1"/>
    <col min="5887" max="6120" width="9.140625" style="250"/>
    <col min="6121" max="6121" width="3.140625" style="250" customWidth="1"/>
    <col min="6122" max="6122" width="6.140625" style="250" customWidth="1"/>
    <col min="6123" max="6123" width="10.28515625" style="250" customWidth="1"/>
    <col min="6124" max="6124" width="34.140625" style="250" customWidth="1"/>
    <col min="6125" max="6125" width="9.28515625" style="250" customWidth="1"/>
    <col min="6126" max="6127" width="12.140625" style="250" customWidth="1"/>
    <col min="6128" max="6138" width="9.85546875" style="250" customWidth="1"/>
    <col min="6139" max="6139" width="11.5703125" style="250" customWidth="1"/>
    <col min="6140" max="6140" width="12.7109375" style="250" customWidth="1"/>
    <col min="6141" max="6141" width="9.140625" style="250"/>
    <col min="6142" max="6142" width="11.42578125" style="250" customWidth="1"/>
    <col min="6143" max="6376" width="9.140625" style="250"/>
    <col min="6377" max="6377" width="3.140625" style="250" customWidth="1"/>
    <col min="6378" max="6378" width="6.140625" style="250" customWidth="1"/>
    <col min="6379" max="6379" width="10.28515625" style="250" customWidth="1"/>
    <col min="6380" max="6380" width="34.140625" style="250" customWidth="1"/>
    <col min="6381" max="6381" width="9.28515625" style="250" customWidth="1"/>
    <col min="6382" max="6383" width="12.140625" style="250" customWidth="1"/>
    <col min="6384" max="6394" width="9.85546875" style="250" customWidth="1"/>
    <col min="6395" max="6395" width="11.5703125" style="250" customWidth="1"/>
    <col min="6396" max="6396" width="12.7109375" style="250" customWidth="1"/>
    <col min="6397" max="6397" width="9.140625" style="250"/>
    <col min="6398" max="6398" width="11.42578125" style="250" customWidth="1"/>
    <col min="6399" max="6632" width="9.140625" style="250"/>
    <col min="6633" max="6633" width="3.140625" style="250" customWidth="1"/>
    <col min="6634" max="6634" width="6.140625" style="250" customWidth="1"/>
    <col min="6635" max="6635" width="10.28515625" style="250" customWidth="1"/>
    <col min="6636" max="6636" width="34.140625" style="250" customWidth="1"/>
    <col min="6637" max="6637" width="9.28515625" style="250" customWidth="1"/>
    <col min="6638" max="6639" width="12.140625" style="250" customWidth="1"/>
    <col min="6640" max="6650" width="9.85546875" style="250" customWidth="1"/>
    <col min="6651" max="6651" width="11.5703125" style="250" customWidth="1"/>
    <col min="6652" max="6652" width="12.7109375" style="250" customWidth="1"/>
    <col min="6653" max="6653" width="9.140625" style="250"/>
    <col min="6654" max="6654" width="11.42578125" style="250" customWidth="1"/>
    <col min="6655" max="6888" width="9.140625" style="250"/>
    <col min="6889" max="6889" width="3.140625" style="250" customWidth="1"/>
    <col min="6890" max="6890" width="6.140625" style="250" customWidth="1"/>
    <col min="6891" max="6891" width="10.28515625" style="250" customWidth="1"/>
    <col min="6892" max="6892" width="34.140625" style="250" customWidth="1"/>
    <col min="6893" max="6893" width="9.28515625" style="250" customWidth="1"/>
    <col min="6894" max="6895" width="12.140625" style="250" customWidth="1"/>
    <col min="6896" max="6906" width="9.85546875" style="250" customWidth="1"/>
    <col min="6907" max="6907" width="11.5703125" style="250" customWidth="1"/>
    <col min="6908" max="6908" width="12.7109375" style="250" customWidth="1"/>
    <col min="6909" max="6909" width="9.140625" style="250"/>
    <col min="6910" max="6910" width="11.42578125" style="250" customWidth="1"/>
    <col min="6911" max="7144" width="9.140625" style="250"/>
    <col min="7145" max="7145" width="3.140625" style="250" customWidth="1"/>
    <col min="7146" max="7146" width="6.140625" style="250" customWidth="1"/>
    <col min="7147" max="7147" width="10.28515625" style="250" customWidth="1"/>
    <col min="7148" max="7148" width="34.140625" style="250" customWidth="1"/>
    <col min="7149" max="7149" width="9.28515625" style="250" customWidth="1"/>
    <col min="7150" max="7151" width="12.140625" style="250" customWidth="1"/>
    <col min="7152" max="7162" width="9.85546875" style="250" customWidth="1"/>
    <col min="7163" max="7163" width="11.5703125" style="250" customWidth="1"/>
    <col min="7164" max="7164" width="12.7109375" style="250" customWidth="1"/>
    <col min="7165" max="7165" width="9.140625" style="250"/>
    <col min="7166" max="7166" width="11.42578125" style="250" customWidth="1"/>
    <col min="7167" max="7400" width="9.140625" style="250"/>
    <col min="7401" max="7401" width="3.140625" style="250" customWidth="1"/>
    <col min="7402" max="7402" width="6.140625" style="250" customWidth="1"/>
    <col min="7403" max="7403" width="10.28515625" style="250" customWidth="1"/>
    <col min="7404" max="7404" width="34.140625" style="250" customWidth="1"/>
    <col min="7405" max="7405" width="9.28515625" style="250" customWidth="1"/>
    <col min="7406" max="7407" width="12.140625" style="250" customWidth="1"/>
    <col min="7408" max="7418" width="9.85546875" style="250" customWidth="1"/>
    <col min="7419" max="7419" width="11.5703125" style="250" customWidth="1"/>
    <col min="7420" max="7420" width="12.7109375" style="250" customWidth="1"/>
    <col min="7421" max="7421" width="9.140625" style="250"/>
    <col min="7422" max="7422" width="11.42578125" style="250" customWidth="1"/>
    <col min="7423" max="7656" width="9.140625" style="250"/>
    <col min="7657" max="7657" width="3.140625" style="250" customWidth="1"/>
    <col min="7658" max="7658" width="6.140625" style="250" customWidth="1"/>
    <col min="7659" max="7659" width="10.28515625" style="250" customWidth="1"/>
    <col min="7660" max="7660" width="34.140625" style="250" customWidth="1"/>
    <col min="7661" max="7661" width="9.28515625" style="250" customWidth="1"/>
    <col min="7662" max="7663" width="12.140625" style="250" customWidth="1"/>
    <col min="7664" max="7674" width="9.85546875" style="250" customWidth="1"/>
    <col min="7675" max="7675" width="11.5703125" style="250" customWidth="1"/>
    <col min="7676" max="7676" width="12.7109375" style="250" customWidth="1"/>
    <col min="7677" max="7677" width="9.140625" style="250"/>
    <col min="7678" max="7678" width="11.42578125" style="250" customWidth="1"/>
    <col min="7679" max="7912" width="9.140625" style="250"/>
    <col min="7913" max="7913" width="3.140625" style="250" customWidth="1"/>
    <col min="7914" max="7914" width="6.140625" style="250" customWidth="1"/>
    <col min="7915" max="7915" width="10.28515625" style="250" customWidth="1"/>
    <col min="7916" max="7916" width="34.140625" style="250" customWidth="1"/>
    <col min="7917" max="7917" width="9.28515625" style="250" customWidth="1"/>
    <col min="7918" max="7919" width="12.140625" style="250" customWidth="1"/>
    <col min="7920" max="7930" width="9.85546875" style="250" customWidth="1"/>
    <col min="7931" max="7931" width="11.5703125" style="250" customWidth="1"/>
    <col min="7932" max="7932" width="12.7109375" style="250" customWidth="1"/>
    <col min="7933" max="7933" width="9.140625" style="250"/>
    <col min="7934" max="7934" width="11.42578125" style="250" customWidth="1"/>
    <col min="7935" max="8168" width="9.140625" style="250"/>
    <col min="8169" max="8169" width="3.140625" style="250" customWidth="1"/>
    <col min="8170" max="8170" width="6.140625" style="250" customWidth="1"/>
    <col min="8171" max="8171" width="10.28515625" style="250" customWidth="1"/>
    <col min="8172" max="8172" width="34.140625" style="250" customWidth="1"/>
    <col min="8173" max="8173" width="9.28515625" style="250" customWidth="1"/>
    <col min="8174" max="8175" width="12.140625" style="250" customWidth="1"/>
    <col min="8176" max="8186" width="9.85546875" style="250" customWidth="1"/>
    <col min="8187" max="8187" width="11.5703125" style="250" customWidth="1"/>
    <col min="8188" max="8188" width="12.7109375" style="250" customWidth="1"/>
    <col min="8189" max="8189" width="9.140625" style="250"/>
    <col min="8190" max="8190" width="11.42578125" style="250" customWidth="1"/>
    <col min="8191" max="8424" width="9.140625" style="250"/>
    <col min="8425" max="8425" width="3.140625" style="250" customWidth="1"/>
    <col min="8426" max="8426" width="6.140625" style="250" customWidth="1"/>
    <col min="8427" max="8427" width="10.28515625" style="250" customWidth="1"/>
    <col min="8428" max="8428" width="34.140625" style="250" customWidth="1"/>
    <col min="8429" max="8429" width="9.28515625" style="250" customWidth="1"/>
    <col min="8430" max="8431" width="12.140625" style="250" customWidth="1"/>
    <col min="8432" max="8442" width="9.85546875" style="250" customWidth="1"/>
    <col min="8443" max="8443" width="11.5703125" style="250" customWidth="1"/>
    <col min="8444" max="8444" width="12.7109375" style="250" customWidth="1"/>
    <col min="8445" max="8445" width="9.140625" style="250"/>
    <col min="8446" max="8446" width="11.42578125" style="250" customWidth="1"/>
    <col min="8447" max="8680" width="9.140625" style="250"/>
    <col min="8681" max="8681" width="3.140625" style="250" customWidth="1"/>
    <col min="8682" max="8682" width="6.140625" style="250" customWidth="1"/>
    <col min="8683" max="8683" width="10.28515625" style="250" customWidth="1"/>
    <col min="8684" max="8684" width="34.140625" style="250" customWidth="1"/>
    <col min="8685" max="8685" width="9.28515625" style="250" customWidth="1"/>
    <col min="8686" max="8687" width="12.140625" style="250" customWidth="1"/>
    <col min="8688" max="8698" width="9.85546875" style="250" customWidth="1"/>
    <col min="8699" max="8699" width="11.5703125" style="250" customWidth="1"/>
    <col min="8700" max="8700" width="12.7109375" style="250" customWidth="1"/>
    <col min="8701" max="8701" width="9.140625" style="250"/>
    <col min="8702" max="8702" width="11.42578125" style="250" customWidth="1"/>
    <col min="8703" max="8936" width="9.140625" style="250"/>
    <col min="8937" max="8937" width="3.140625" style="250" customWidth="1"/>
    <col min="8938" max="8938" width="6.140625" style="250" customWidth="1"/>
    <col min="8939" max="8939" width="10.28515625" style="250" customWidth="1"/>
    <col min="8940" max="8940" width="34.140625" style="250" customWidth="1"/>
    <col min="8941" max="8941" width="9.28515625" style="250" customWidth="1"/>
    <col min="8942" max="8943" width="12.140625" style="250" customWidth="1"/>
    <col min="8944" max="8954" width="9.85546875" style="250" customWidth="1"/>
    <col min="8955" max="8955" width="11.5703125" style="250" customWidth="1"/>
    <col min="8956" max="8956" width="12.7109375" style="250" customWidth="1"/>
    <col min="8957" max="8957" width="9.140625" style="250"/>
    <col min="8958" max="8958" width="11.42578125" style="250" customWidth="1"/>
    <col min="8959" max="9192" width="9.140625" style="250"/>
    <col min="9193" max="9193" width="3.140625" style="250" customWidth="1"/>
    <col min="9194" max="9194" width="6.140625" style="250" customWidth="1"/>
    <col min="9195" max="9195" width="10.28515625" style="250" customWidth="1"/>
    <col min="9196" max="9196" width="34.140625" style="250" customWidth="1"/>
    <col min="9197" max="9197" width="9.28515625" style="250" customWidth="1"/>
    <col min="9198" max="9199" width="12.140625" style="250" customWidth="1"/>
    <col min="9200" max="9210" width="9.85546875" style="250" customWidth="1"/>
    <col min="9211" max="9211" width="11.5703125" style="250" customWidth="1"/>
    <col min="9212" max="9212" width="12.7109375" style="250" customWidth="1"/>
    <col min="9213" max="9213" width="9.140625" style="250"/>
    <col min="9214" max="9214" width="11.42578125" style="250" customWidth="1"/>
    <col min="9215" max="9448" width="9.140625" style="250"/>
    <col min="9449" max="9449" width="3.140625" style="250" customWidth="1"/>
    <col min="9450" max="9450" width="6.140625" style="250" customWidth="1"/>
    <col min="9451" max="9451" width="10.28515625" style="250" customWidth="1"/>
    <col min="9452" max="9452" width="34.140625" style="250" customWidth="1"/>
    <col min="9453" max="9453" width="9.28515625" style="250" customWidth="1"/>
    <col min="9454" max="9455" width="12.140625" style="250" customWidth="1"/>
    <col min="9456" max="9466" width="9.85546875" style="250" customWidth="1"/>
    <col min="9467" max="9467" width="11.5703125" style="250" customWidth="1"/>
    <col min="9468" max="9468" width="12.7109375" style="250" customWidth="1"/>
    <col min="9469" max="9469" width="9.140625" style="250"/>
    <col min="9470" max="9470" width="11.42578125" style="250" customWidth="1"/>
    <col min="9471" max="9704" width="9.140625" style="250"/>
    <col min="9705" max="9705" width="3.140625" style="250" customWidth="1"/>
    <col min="9706" max="9706" width="6.140625" style="250" customWidth="1"/>
    <col min="9707" max="9707" width="10.28515625" style="250" customWidth="1"/>
    <col min="9708" max="9708" width="34.140625" style="250" customWidth="1"/>
    <col min="9709" max="9709" width="9.28515625" style="250" customWidth="1"/>
    <col min="9710" max="9711" width="12.140625" style="250" customWidth="1"/>
    <col min="9712" max="9722" width="9.85546875" style="250" customWidth="1"/>
    <col min="9723" max="9723" width="11.5703125" style="250" customWidth="1"/>
    <col min="9724" max="9724" width="12.7109375" style="250" customWidth="1"/>
    <col min="9725" max="9725" width="9.140625" style="250"/>
    <col min="9726" max="9726" width="11.42578125" style="250" customWidth="1"/>
    <col min="9727" max="9960" width="9.140625" style="250"/>
    <col min="9961" max="9961" width="3.140625" style="250" customWidth="1"/>
    <col min="9962" max="9962" width="6.140625" style="250" customWidth="1"/>
    <col min="9963" max="9963" width="10.28515625" style="250" customWidth="1"/>
    <col min="9964" max="9964" width="34.140625" style="250" customWidth="1"/>
    <col min="9965" max="9965" width="9.28515625" style="250" customWidth="1"/>
    <col min="9966" max="9967" width="12.140625" style="250" customWidth="1"/>
    <col min="9968" max="9978" width="9.85546875" style="250" customWidth="1"/>
    <col min="9979" max="9979" width="11.5703125" style="250" customWidth="1"/>
    <col min="9980" max="9980" width="12.7109375" style="250" customWidth="1"/>
    <col min="9981" max="9981" width="9.140625" style="250"/>
    <col min="9982" max="9982" width="11.42578125" style="250" customWidth="1"/>
    <col min="9983" max="10216" width="9.140625" style="250"/>
    <col min="10217" max="10217" width="3.140625" style="250" customWidth="1"/>
    <col min="10218" max="10218" width="6.140625" style="250" customWidth="1"/>
    <col min="10219" max="10219" width="10.28515625" style="250" customWidth="1"/>
    <col min="10220" max="10220" width="34.140625" style="250" customWidth="1"/>
    <col min="10221" max="10221" width="9.28515625" style="250" customWidth="1"/>
    <col min="10222" max="10223" width="12.140625" style="250" customWidth="1"/>
    <col min="10224" max="10234" width="9.85546875" style="250" customWidth="1"/>
    <col min="10235" max="10235" width="11.5703125" style="250" customWidth="1"/>
    <col min="10236" max="10236" width="12.7109375" style="250" customWidth="1"/>
    <col min="10237" max="10237" width="9.140625" style="250"/>
    <col min="10238" max="10238" width="11.42578125" style="250" customWidth="1"/>
    <col min="10239" max="10472" width="9.140625" style="250"/>
    <col min="10473" max="10473" width="3.140625" style="250" customWidth="1"/>
    <col min="10474" max="10474" width="6.140625" style="250" customWidth="1"/>
    <col min="10475" max="10475" width="10.28515625" style="250" customWidth="1"/>
    <col min="10476" max="10476" width="34.140625" style="250" customWidth="1"/>
    <col min="10477" max="10477" width="9.28515625" style="250" customWidth="1"/>
    <col min="10478" max="10479" width="12.140625" style="250" customWidth="1"/>
    <col min="10480" max="10490" width="9.85546875" style="250" customWidth="1"/>
    <col min="10491" max="10491" width="11.5703125" style="250" customWidth="1"/>
    <col min="10492" max="10492" width="12.7109375" style="250" customWidth="1"/>
    <col min="10493" max="10493" width="9.140625" style="250"/>
    <col min="10494" max="10494" width="11.42578125" style="250" customWidth="1"/>
    <col min="10495" max="10728" width="9.140625" style="250"/>
    <col min="10729" max="10729" width="3.140625" style="250" customWidth="1"/>
    <col min="10730" max="10730" width="6.140625" style="250" customWidth="1"/>
    <col min="10731" max="10731" width="10.28515625" style="250" customWidth="1"/>
    <col min="10732" max="10732" width="34.140625" style="250" customWidth="1"/>
    <col min="10733" max="10733" width="9.28515625" style="250" customWidth="1"/>
    <col min="10734" max="10735" width="12.140625" style="250" customWidth="1"/>
    <col min="10736" max="10746" width="9.85546875" style="250" customWidth="1"/>
    <col min="10747" max="10747" width="11.5703125" style="250" customWidth="1"/>
    <col min="10748" max="10748" width="12.7109375" style="250" customWidth="1"/>
    <col min="10749" max="10749" width="9.140625" style="250"/>
    <col min="10750" max="10750" width="11.42578125" style="250" customWidth="1"/>
    <col min="10751" max="10984" width="9.140625" style="250"/>
    <col min="10985" max="10985" width="3.140625" style="250" customWidth="1"/>
    <col min="10986" max="10986" width="6.140625" style="250" customWidth="1"/>
    <col min="10987" max="10987" width="10.28515625" style="250" customWidth="1"/>
    <col min="10988" max="10988" width="34.140625" style="250" customWidth="1"/>
    <col min="10989" max="10989" width="9.28515625" style="250" customWidth="1"/>
    <col min="10990" max="10991" width="12.140625" style="250" customWidth="1"/>
    <col min="10992" max="11002" width="9.85546875" style="250" customWidth="1"/>
    <col min="11003" max="11003" width="11.5703125" style="250" customWidth="1"/>
    <col min="11004" max="11004" width="12.7109375" style="250" customWidth="1"/>
    <col min="11005" max="11005" width="9.140625" style="250"/>
    <col min="11006" max="11006" width="11.42578125" style="250" customWidth="1"/>
    <col min="11007" max="11240" width="9.140625" style="250"/>
    <col min="11241" max="11241" width="3.140625" style="250" customWidth="1"/>
    <col min="11242" max="11242" width="6.140625" style="250" customWidth="1"/>
    <col min="11243" max="11243" width="10.28515625" style="250" customWidth="1"/>
    <col min="11244" max="11244" width="34.140625" style="250" customWidth="1"/>
    <col min="11245" max="11245" width="9.28515625" style="250" customWidth="1"/>
    <col min="11246" max="11247" width="12.140625" style="250" customWidth="1"/>
    <col min="11248" max="11258" width="9.85546875" style="250" customWidth="1"/>
    <col min="11259" max="11259" width="11.5703125" style="250" customWidth="1"/>
    <col min="11260" max="11260" width="12.7109375" style="250" customWidth="1"/>
    <col min="11261" max="11261" width="9.140625" style="250"/>
    <col min="11262" max="11262" width="11.42578125" style="250" customWidth="1"/>
    <col min="11263" max="11496" width="9.140625" style="250"/>
    <col min="11497" max="11497" width="3.140625" style="250" customWidth="1"/>
    <col min="11498" max="11498" width="6.140625" style="250" customWidth="1"/>
    <col min="11499" max="11499" width="10.28515625" style="250" customWidth="1"/>
    <col min="11500" max="11500" width="34.140625" style="250" customWidth="1"/>
    <col min="11501" max="11501" width="9.28515625" style="250" customWidth="1"/>
    <col min="11502" max="11503" width="12.140625" style="250" customWidth="1"/>
    <col min="11504" max="11514" width="9.85546875" style="250" customWidth="1"/>
    <col min="11515" max="11515" width="11.5703125" style="250" customWidth="1"/>
    <col min="11516" max="11516" width="12.7109375" style="250" customWidth="1"/>
    <col min="11517" max="11517" width="9.140625" style="250"/>
    <col min="11518" max="11518" width="11.42578125" style="250" customWidth="1"/>
    <col min="11519" max="11752" width="9.140625" style="250"/>
    <col min="11753" max="11753" width="3.140625" style="250" customWidth="1"/>
    <col min="11754" max="11754" width="6.140625" style="250" customWidth="1"/>
    <col min="11755" max="11755" width="10.28515625" style="250" customWidth="1"/>
    <col min="11756" max="11756" width="34.140625" style="250" customWidth="1"/>
    <col min="11757" max="11757" width="9.28515625" style="250" customWidth="1"/>
    <col min="11758" max="11759" width="12.140625" style="250" customWidth="1"/>
    <col min="11760" max="11770" width="9.85546875" style="250" customWidth="1"/>
    <col min="11771" max="11771" width="11.5703125" style="250" customWidth="1"/>
    <col min="11772" max="11772" width="12.7109375" style="250" customWidth="1"/>
    <col min="11773" max="11773" width="9.140625" style="250"/>
    <col min="11774" max="11774" width="11.42578125" style="250" customWidth="1"/>
    <col min="11775" max="12008" width="9.140625" style="250"/>
    <col min="12009" max="12009" width="3.140625" style="250" customWidth="1"/>
    <col min="12010" max="12010" width="6.140625" style="250" customWidth="1"/>
    <col min="12011" max="12011" width="10.28515625" style="250" customWidth="1"/>
    <col min="12012" max="12012" width="34.140625" style="250" customWidth="1"/>
    <col min="12013" max="12013" width="9.28515625" style="250" customWidth="1"/>
    <col min="12014" max="12015" width="12.140625" style="250" customWidth="1"/>
    <col min="12016" max="12026" width="9.85546875" style="250" customWidth="1"/>
    <col min="12027" max="12027" width="11.5703125" style="250" customWidth="1"/>
    <col min="12028" max="12028" width="12.7109375" style="250" customWidth="1"/>
    <col min="12029" max="12029" width="9.140625" style="250"/>
    <col min="12030" max="12030" width="11.42578125" style="250" customWidth="1"/>
    <col min="12031" max="12264" width="9.140625" style="250"/>
    <col min="12265" max="12265" width="3.140625" style="250" customWidth="1"/>
    <col min="12266" max="12266" width="6.140625" style="250" customWidth="1"/>
    <col min="12267" max="12267" width="10.28515625" style="250" customWidth="1"/>
    <col min="12268" max="12268" width="34.140625" style="250" customWidth="1"/>
    <col min="12269" max="12269" width="9.28515625" style="250" customWidth="1"/>
    <col min="12270" max="12271" width="12.140625" style="250" customWidth="1"/>
    <col min="12272" max="12282" width="9.85546875" style="250" customWidth="1"/>
    <col min="12283" max="12283" width="11.5703125" style="250" customWidth="1"/>
    <col min="12284" max="12284" width="12.7109375" style="250" customWidth="1"/>
    <col min="12285" max="12285" width="9.140625" style="250"/>
    <col min="12286" max="12286" width="11.42578125" style="250" customWidth="1"/>
    <col min="12287" max="12520" width="9.140625" style="250"/>
    <col min="12521" max="12521" width="3.140625" style="250" customWidth="1"/>
    <col min="12522" max="12522" width="6.140625" style="250" customWidth="1"/>
    <col min="12523" max="12523" width="10.28515625" style="250" customWidth="1"/>
    <col min="12524" max="12524" width="34.140625" style="250" customWidth="1"/>
    <col min="12525" max="12525" width="9.28515625" style="250" customWidth="1"/>
    <col min="12526" max="12527" width="12.140625" style="250" customWidth="1"/>
    <col min="12528" max="12538" width="9.85546875" style="250" customWidth="1"/>
    <col min="12539" max="12539" width="11.5703125" style="250" customWidth="1"/>
    <col min="12540" max="12540" width="12.7109375" style="250" customWidth="1"/>
    <col min="12541" max="12541" width="9.140625" style="250"/>
    <col min="12542" max="12542" width="11.42578125" style="250" customWidth="1"/>
    <col min="12543" max="12776" width="9.140625" style="250"/>
    <col min="12777" max="12777" width="3.140625" style="250" customWidth="1"/>
    <col min="12778" max="12778" width="6.140625" style="250" customWidth="1"/>
    <col min="12779" max="12779" width="10.28515625" style="250" customWidth="1"/>
    <col min="12780" max="12780" width="34.140625" style="250" customWidth="1"/>
    <col min="12781" max="12781" width="9.28515625" style="250" customWidth="1"/>
    <col min="12782" max="12783" width="12.140625" style="250" customWidth="1"/>
    <col min="12784" max="12794" width="9.85546875" style="250" customWidth="1"/>
    <col min="12795" max="12795" width="11.5703125" style="250" customWidth="1"/>
    <col min="12796" max="12796" width="12.7109375" style="250" customWidth="1"/>
    <col min="12797" max="12797" width="9.140625" style="250"/>
    <col min="12798" max="12798" width="11.42578125" style="250" customWidth="1"/>
    <col min="12799" max="13032" width="9.140625" style="250"/>
    <col min="13033" max="13033" width="3.140625" style="250" customWidth="1"/>
    <col min="13034" max="13034" width="6.140625" style="250" customWidth="1"/>
    <col min="13035" max="13035" width="10.28515625" style="250" customWidth="1"/>
    <col min="13036" max="13036" width="34.140625" style="250" customWidth="1"/>
    <col min="13037" max="13037" width="9.28515625" style="250" customWidth="1"/>
    <col min="13038" max="13039" width="12.140625" style="250" customWidth="1"/>
    <col min="13040" max="13050" width="9.85546875" style="250" customWidth="1"/>
    <col min="13051" max="13051" width="11.5703125" style="250" customWidth="1"/>
    <col min="13052" max="13052" width="12.7109375" style="250" customWidth="1"/>
    <col min="13053" max="13053" width="9.140625" style="250"/>
    <col min="13054" max="13054" width="11.42578125" style="250" customWidth="1"/>
    <col min="13055" max="13288" width="9.140625" style="250"/>
    <col min="13289" max="13289" width="3.140625" style="250" customWidth="1"/>
    <col min="13290" max="13290" width="6.140625" style="250" customWidth="1"/>
    <col min="13291" max="13291" width="10.28515625" style="250" customWidth="1"/>
    <col min="13292" max="13292" width="34.140625" style="250" customWidth="1"/>
    <col min="13293" max="13293" width="9.28515625" style="250" customWidth="1"/>
    <col min="13294" max="13295" width="12.140625" style="250" customWidth="1"/>
    <col min="13296" max="13306" width="9.85546875" style="250" customWidth="1"/>
    <col min="13307" max="13307" width="11.5703125" style="250" customWidth="1"/>
    <col min="13308" max="13308" width="12.7109375" style="250" customWidth="1"/>
    <col min="13309" max="13309" width="9.140625" style="250"/>
    <col min="13310" max="13310" width="11.42578125" style="250" customWidth="1"/>
    <col min="13311" max="13544" width="9.140625" style="250"/>
    <col min="13545" max="13545" width="3.140625" style="250" customWidth="1"/>
    <col min="13546" max="13546" width="6.140625" style="250" customWidth="1"/>
    <col min="13547" max="13547" width="10.28515625" style="250" customWidth="1"/>
    <col min="13548" max="13548" width="34.140625" style="250" customWidth="1"/>
    <col min="13549" max="13549" width="9.28515625" style="250" customWidth="1"/>
    <col min="13550" max="13551" width="12.140625" style="250" customWidth="1"/>
    <col min="13552" max="13562" width="9.85546875" style="250" customWidth="1"/>
    <col min="13563" max="13563" width="11.5703125" style="250" customWidth="1"/>
    <col min="13564" max="13564" width="12.7109375" style="250" customWidth="1"/>
    <col min="13565" max="13565" width="9.140625" style="250"/>
    <col min="13566" max="13566" width="11.42578125" style="250" customWidth="1"/>
    <col min="13567" max="13800" width="9.140625" style="250"/>
    <col min="13801" max="13801" width="3.140625" style="250" customWidth="1"/>
    <col min="13802" max="13802" width="6.140625" style="250" customWidth="1"/>
    <col min="13803" max="13803" width="10.28515625" style="250" customWidth="1"/>
    <col min="13804" max="13804" width="34.140625" style="250" customWidth="1"/>
    <col min="13805" max="13805" width="9.28515625" style="250" customWidth="1"/>
    <col min="13806" max="13807" width="12.140625" style="250" customWidth="1"/>
    <col min="13808" max="13818" width="9.85546875" style="250" customWidth="1"/>
    <col min="13819" max="13819" width="11.5703125" style="250" customWidth="1"/>
    <col min="13820" max="13820" width="12.7109375" style="250" customWidth="1"/>
    <col min="13821" max="13821" width="9.140625" style="250"/>
    <col min="13822" max="13822" width="11.42578125" style="250" customWidth="1"/>
    <col min="13823" max="14056" width="9.140625" style="250"/>
    <col min="14057" max="14057" width="3.140625" style="250" customWidth="1"/>
    <col min="14058" max="14058" width="6.140625" style="250" customWidth="1"/>
    <col min="14059" max="14059" width="10.28515625" style="250" customWidth="1"/>
    <col min="14060" max="14060" width="34.140625" style="250" customWidth="1"/>
    <col min="14061" max="14061" width="9.28515625" style="250" customWidth="1"/>
    <col min="14062" max="14063" width="12.140625" style="250" customWidth="1"/>
    <col min="14064" max="14074" width="9.85546875" style="250" customWidth="1"/>
    <col min="14075" max="14075" width="11.5703125" style="250" customWidth="1"/>
    <col min="14076" max="14076" width="12.7109375" style="250" customWidth="1"/>
    <col min="14077" max="14077" width="9.140625" style="250"/>
    <col min="14078" max="14078" width="11.42578125" style="250" customWidth="1"/>
    <col min="14079" max="14312" width="9.140625" style="250"/>
    <col min="14313" max="14313" width="3.140625" style="250" customWidth="1"/>
    <col min="14314" max="14314" width="6.140625" style="250" customWidth="1"/>
    <col min="14315" max="14315" width="10.28515625" style="250" customWidth="1"/>
    <col min="14316" max="14316" width="34.140625" style="250" customWidth="1"/>
    <col min="14317" max="14317" width="9.28515625" style="250" customWidth="1"/>
    <col min="14318" max="14319" width="12.140625" style="250" customWidth="1"/>
    <col min="14320" max="14330" width="9.85546875" style="250" customWidth="1"/>
    <col min="14331" max="14331" width="11.5703125" style="250" customWidth="1"/>
    <col min="14332" max="14332" width="12.7109375" style="250" customWidth="1"/>
    <col min="14333" max="14333" width="9.140625" style="250"/>
    <col min="14334" max="14334" width="11.42578125" style="250" customWidth="1"/>
    <col min="14335" max="14568" width="9.140625" style="250"/>
    <col min="14569" max="14569" width="3.140625" style="250" customWidth="1"/>
    <col min="14570" max="14570" width="6.140625" style="250" customWidth="1"/>
    <col min="14571" max="14571" width="10.28515625" style="250" customWidth="1"/>
    <col min="14572" max="14572" width="34.140625" style="250" customWidth="1"/>
    <col min="14573" max="14573" width="9.28515625" style="250" customWidth="1"/>
    <col min="14574" max="14575" width="12.140625" style="250" customWidth="1"/>
    <col min="14576" max="14586" width="9.85546875" style="250" customWidth="1"/>
    <col min="14587" max="14587" width="11.5703125" style="250" customWidth="1"/>
    <col min="14588" max="14588" width="12.7109375" style="250" customWidth="1"/>
    <col min="14589" max="14589" width="9.140625" style="250"/>
    <col min="14590" max="14590" width="11.42578125" style="250" customWidth="1"/>
    <col min="14591" max="14824" width="9.140625" style="250"/>
    <col min="14825" max="14825" width="3.140625" style="250" customWidth="1"/>
    <col min="14826" max="14826" width="6.140625" style="250" customWidth="1"/>
    <col min="14827" max="14827" width="10.28515625" style="250" customWidth="1"/>
    <col min="14828" max="14828" width="34.140625" style="250" customWidth="1"/>
    <col min="14829" max="14829" width="9.28515625" style="250" customWidth="1"/>
    <col min="14830" max="14831" width="12.140625" style="250" customWidth="1"/>
    <col min="14832" max="14842" width="9.85546875" style="250" customWidth="1"/>
    <col min="14843" max="14843" width="11.5703125" style="250" customWidth="1"/>
    <col min="14844" max="14844" width="12.7109375" style="250" customWidth="1"/>
    <col min="14845" max="14845" width="9.140625" style="250"/>
    <col min="14846" max="14846" width="11.42578125" style="250" customWidth="1"/>
    <col min="14847" max="15080" width="9.140625" style="250"/>
    <col min="15081" max="15081" width="3.140625" style="250" customWidth="1"/>
    <col min="15082" max="15082" width="6.140625" style="250" customWidth="1"/>
    <col min="15083" max="15083" width="10.28515625" style="250" customWidth="1"/>
    <col min="15084" max="15084" width="34.140625" style="250" customWidth="1"/>
    <col min="15085" max="15085" width="9.28515625" style="250" customWidth="1"/>
    <col min="15086" max="15087" width="12.140625" style="250" customWidth="1"/>
    <col min="15088" max="15098" width="9.85546875" style="250" customWidth="1"/>
    <col min="15099" max="15099" width="11.5703125" style="250" customWidth="1"/>
    <col min="15100" max="15100" width="12.7109375" style="250" customWidth="1"/>
    <col min="15101" max="15101" width="9.140625" style="250"/>
    <col min="15102" max="15102" width="11.42578125" style="250" customWidth="1"/>
    <col min="15103" max="15336" width="9.140625" style="250"/>
    <col min="15337" max="15337" width="3.140625" style="250" customWidth="1"/>
    <col min="15338" max="15338" width="6.140625" style="250" customWidth="1"/>
    <col min="15339" max="15339" width="10.28515625" style="250" customWidth="1"/>
    <col min="15340" max="15340" width="34.140625" style="250" customWidth="1"/>
    <col min="15341" max="15341" width="9.28515625" style="250" customWidth="1"/>
    <col min="15342" max="15343" width="12.140625" style="250" customWidth="1"/>
    <col min="15344" max="15354" width="9.85546875" style="250" customWidth="1"/>
    <col min="15355" max="15355" width="11.5703125" style="250" customWidth="1"/>
    <col min="15356" max="15356" width="12.7109375" style="250" customWidth="1"/>
    <col min="15357" max="15357" width="9.140625" style="250"/>
    <col min="15358" max="15358" width="11.42578125" style="250" customWidth="1"/>
    <col min="15359" max="15592" width="9.140625" style="250"/>
    <col min="15593" max="15593" width="3.140625" style="250" customWidth="1"/>
    <col min="15594" max="15594" width="6.140625" style="250" customWidth="1"/>
    <col min="15595" max="15595" width="10.28515625" style="250" customWidth="1"/>
    <col min="15596" max="15596" width="34.140625" style="250" customWidth="1"/>
    <col min="15597" max="15597" width="9.28515625" style="250" customWidth="1"/>
    <col min="15598" max="15599" width="12.140625" style="250" customWidth="1"/>
    <col min="15600" max="15610" width="9.85546875" style="250" customWidth="1"/>
    <col min="15611" max="15611" width="11.5703125" style="250" customWidth="1"/>
    <col min="15612" max="15612" width="12.7109375" style="250" customWidth="1"/>
    <col min="15613" max="15613" width="9.140625" style="250"/>
    <col min="15614" max="15614" width="11.42578125" style="250" customWidth="1"/>
    <col min="15615" max="15848" width="9.140625" style="250"/>
    <col min="15849" max="15849" width="3.140625" style="250" customWidth="1"/>
    <col min="15850" max="15850" width="6.140625" style="250" customWidth="1"/>
    <col min="15851" max="15851" width="10.28515625" style="250" customWidth="1"/>
    <col min="15852" max="15852" width="34.140625" style="250" customWidth="1"/>
    <col min="15853" max="15853" width="9.28515625" style="250" customWidth="1"/>
    <col min="15854" max="15855" width="12.140625" style="250" customWidth="1"/>
    <col min="15856" max="15866" width="9.85546875" style="250" customWidth="1"/>
    <col min="15867" max="15867" width="11.5703125" style="250" customWidth="1"/>
    <col min="15868" max="15868" width="12.7109375" style="250" customWidth="1"/>
    <col min="15869" max="15869" width="9.140625" style="250"/>
    <col min="15870" max="15870" width="11.42578125" style="250" customWidth="1"/>
    <col min="15871" max="16104" width="9.140625" style="250"/>
    <col min="16105" max="16105" width="3.140625" style="250" customWidth="1"/>
    <col min="16106" max="16106" width="6.140625" style="250" customWidth="1"/>
    <col min="16107" max="16107" width="10.28515625" style="250" customWidth="1"/>
    <col min="16108" max="16108" width="34.140625" style="250" customWidth="1"/>
    <col min="16109" max="16109" width="9.28515625" style="250" customWidth="1"/>
    <col min="16110" max="16111" width="12.140625" style="250" customWidth="1"/>
    <col min="16112" max="16122" width="9.85546875" style="250" customWidth="1"/>
    <col min="16123" max="16123" width="11.5703125" style="250" customWidth="1"/>
    <col min="16124" max="16124" width="12.7109375" style="250" customWidth="1"/>
    <col min="16125" max="16125" width="9.140625" style="250"/>
    <col min="16126" max="16126" width="11.42578125" style="250" customWidth="1"/>
    <col min="16127" max="16384" width="9.140625" style="250"/>
  </cols>
  <sheetData>
    <row r="1" spans="1:6" s="235" customFormat="1" ht="48" customHeight="1" x14ac:dyDescent="0.25">
      <c r="A1" s="234"/>
      <c r="B1" s="394" t="s">
        <v>236</v>
      </c>
      <c r="C1" s="394"/>
      <c r="D1" s="394"/>
      <c r="E1" s="394"/>
      <c r="F1" s="394"/>
    </row>
    <row r="2" spans="1:6" s="235" customFormat="1" ht="18.75" customHeight="1" x14ac:dyDescent="0.25">
      <c r="A2" s="234"/>
      <c r="B2" s="400" t="s">
        <v>237</v>
      </c>
      <c r="C2" s="400"/>
      <c r="D2" s="400"/>
      <c r="E2" s="400"/>
      <c r="F2" s="400"/>
    </row>
    <row r="3" spans="1:6" s="235" customFormat="1" x14ac:dyDescent="0.25">
      <c r="A3" s="234"/>
      <c r="B3" s="395" t="s">
        <v>11</v>
      </c>
      <c r="C3" s="397" t="s">
        <v>12</v>
      </c>
      <c r="D3" s="397"/>
      <c r="E3" s="398" t="s">
        <v>13</v>
      </c>
      <c r="F3" s="399" t="s">
        <v>14</v>
      </c>
    </row>
    <row r="4" spans="1:6" s="237" customFormat="1" ht="45.75" customHeight="1" x14ac:dyDescent="0.25">
      <c r="A4" s="236"/>
      <c r="B4" s="396"/>
      <c r="C4" s="397"/>
      <c r="D4" s="397"/>
      <c r="E4" s="398"/>
      <c r="F4" s="399"/>
    </row>
    <row r="5" spans="1:6" s="237" customFormat="1" ht="25.5" customHeight="1" x14ac:dyDescent="0.25">
      <c r="A5" s="236"/>
      <c r="B5" s="238"/>
      <c r="C5" s="409" t="s">
        <v>238</v>
      </c>
      <c r="D5" s="410"/>
      <c r="E5" s="239"/>
      <c r="F5" s="53"/>
    </row>
    <row r="6" spans="1:6" s="237" customFormat="1" ht="31.5" customHeight="1" x14ac:dyDescent="0.25">
      <c r="A6" s="236"/>
      <c r="B6" s="240">
        <v>1</v>
      </c>
      <c r="C6" s="409" t="s">
        <v>239</v>
      </c>
      <c r="D6" s="410"/>
      <c r="E6" s="241" t="s">
        <v>240</v>
      </c>
      <c r="F6" s="47">
        <v>1</v>
      </c>
    </row>
    <row r="7" spans="1:6" s="237" customFormat="1" ht="25.5" customHeight="1" x14ac:dyDescent="0.25">
      <c r="A7" s="236"/>
      <c r="B7" s="238"/>
      <c r="C7" s="411" t="s">
        <v>241</v>
      </c>
      <c r="D7" s="412"/>
      <c r="E7" s="239" t="s">
        <v>240</v>
      </c>
      <c r="F7" s="37">
        <f>F6</f>
        <v>1</v>
      </c>
    </row>
    <row r="8" spans="1:6" s="237" customFormat="1" ht="21.75" customHeight="1" x14ac:dyDescent="0.25">
      <c r="A8" s="236"/>
      <c r="B8" s="240">
        <v>2</v>
      </c>
      <c r="C8" s="413" t="s">
        <v>242</v>
      </c>
      <c r="D8" s="414"/>
      <c r="E8" s="241" t="s">
        <v>240</v>
      </c>
      <c r="F8" s="47">
        <v>1</v>
      </c>
    </row>
    <row r="9" spans="1:6" s="237" customFormat="1" ht="21.75" customHeight="1" x14ac:dyDescent="0.25">
      <c r="A9" s="236"/>
      <c r="B9" s="238"/>
      <c r="C9" s="401" t="s">
        <v>243</v>
      </c>
      <c r="D9" s="402"/>
      <c r="E9" s="239" t="s">
        <v>240</v>
      </c>
      <c r="F9" s="37">
        <f>F8</f>
        <v>1</v>
      </c>
    </row>
    <row r="10" spans="1:6" s="237" customFormat="1" ht="34.5" customHeight="1" x14ac:dyDescent="0.25">
      <c r="A10" s="236"/>
      <c r="B10" s="240">
        <v>3</v>
      </c>
      <c r="C10" s="413" t="s">
        <v>244</v>
      </c>
      <c r="D10" s="414"/>
      <c r="E10" s="241" t="s">
        <v>240</v>
      </c>
      <c r="F10" s="47">
        <v>3</v>
      </c>
    </row>
    <row r="11" spans="1:6" s="237" customFormat="1" ht="21.75" customHeight="1" x14ac:dyDescent="0.25">
      <c r="A11" s="236"/>
      <c r="B11" s="238"/>
      <c r="C11" s="401" t="s">
        <v>243</v>
      </c>
      <c r="D11" s="402"/>
      <c r="E11" s="239" t="s">
        <v>240</v>
      </c>
      <c r="F11" s="37">
        <f>F10</f>
        <v>3</v>
      </c>
    </row>
    <row r="12" spans="1:6" s="237" customFormat="1" ht="31.5" customHeight="1" x14ac:dyDescent="0.25">
      <c r="A12" s="236"/>
      <c r="B12" s="240">
        <v>4</v>
      </c>
      <c r="C12" s="403" t="s">
        <v>245</v>
      </c>
      <c r="D12" s="404"/>
      <c r="E12" s="48" t="s">
        <v>246</v>
      </c>
      <c r="F12" s="48">
        <v>12</v>
      </c>
    </row>
    <row r="13" spans="1:6" s="237" customFormat="1" ht="21.75" customHeight="1" x14ac:dyDescent="0.25">
      <c r="A13" s="236"/>
      <c r="B13" s="238"/>
      <c r="C13" s="405" t="s">
        <v>247</v>
      </c>
      <c r="D13" s="406"/>
      <c r="E13" s="41" t="s">
        <v>246</v>
      </c>
      <c r="F13" s="39">
        <f>F12</f>
        <v>12</v>
      </c>
    </row>
    <row r="14" spans="1:6" s="237" customFormat="1" ht="31.5" customHeight="1" x14ac:dyDescent="0.25">
      <c r="A14" s="236"/>
      <c r="B14" s="238"/>
      <c r="C14" s="405" t="s">
        <v>248</v>
      </c>
      <c r="D14" s="406"/>
      <c r="E14" s="41" t="s">
        <v>246</v>
      </c>
      <c r="F14" s="39">
        <v>12</v>
      </c>
    </row>
    <row r="15" spans="1:6" s="237" customFormat="1" ht="21.75" customHeight="1" x14ac:dyDescent="0.25">
      <c r="A15" s="236"/>
      <c r="B15" s="240">
        <v>5</v>
      </c>
      <c r="C15" s="407" t="s">
        <v>249</v>
      </c>
      <c r="D15" s="408"/>
      <c r="E15" s="48" t="s">
        <v>246</v>
      </c>
      <c r="F15" s="48">
        <v>4</v>
      </c>
    </row>
    <row r="16" spans="1:6" s="237" customFormat="1" ht="21.75" customHeight="1" x14ac:dyDescent="0.25">
      <c r="A16" s="236"/>
      <c r="B16" s="238"/>
      <c r="C16" s="405" t="s">
        <v>250</v>
      </c>
      <c r="D16" s="406"/>
      <c r="E16" s="41" t="s">
        <v>246</v>
      </c>
      <c r="F16" s="39">
        <v>12</v>
      </c>
    </row>
    <row r="17" spans="1:6" s="237" customFormat="1" ht="21.75" customHeight="1" x14ac:dyDescent="0.25">
      <c r="A17" s="236"/>
      <c r="B17" s="238"/>
      <c r="C17" s="405" t="s">
        <v>251</v>
      </c>
      <c r="D17" s="406"/>
      <c r="E17" s="41" t="s">
        <v>246</v>
      </c>
      <c r="F17" s="39">
        <v>12</v>
      </c>
    </row>
    <row r="18" spans="1:6" s="237" customFormat="1" ht="30" customHeight="1" x14ac:dyDescent="0.25">
      <c r="A18" s="236"/>
      <c r="B18" s="240">
        <v>6</v>
      </c>
      <c r="C18" s="415" t="s">
        <v>252</v>
      </c>
      <c r="D18" s="416"/>
      <c r="E18" s="241" t="s">
        <v>208</v>
      </c>
      <c r="F18" s="47">
        <f>F19</f>
        <v>38</v>
      </c>
    </row>
    <row r="19" spans="1:6" s="237" customFormat="1" ht="30" customHeight="1" x14ac:dyDescent="0.25">
      <c r="A19" s="236"/>
      <c r="B19" s="238"/>
      <c r="C19" s="401" t="s">
        <v>253</v>
      </c>
      <c r="D19" s="402"/>
      <c r="E19" s="242" t="s">
        <v>208</v>
      </c>
      <c r="F19" s="37">
        <v>38</v>
      </c>
    </row>
    <row r="20" spans="1:6" s="237" customFormat="1" ht="30" customHeight="1" x14ac:dyDescent="0.25">
      <c r="A20" s="236"/>
      <c r="B20" s="240">
        <v>7</v>
      </c>
      <c r="C20" s="415" t="s">
        <v>254</v>
      </c>
      <c r="D20" s="416"/>
      <c r="E20" s="241" t="s">
        <v>208</v>
      </c>
      <c r="F20" s="47">
        <f>F21</f>
        <v>20</v>
      </c>
    </row>
    <row r="21" spans="1:6" s="237" customFormat="1" ht="30" customHeight="1" x14ac:dyDescent="0.25">
      <c r="A21" s="236"/>
      <c r="B21" s="238"/>
      <c r="C21" s="401" t="s">
        <v>255</v>
      </c>
      <c r="D21" s="402"/>
      <c r="E21" s="242" t="s">
        <v>208</v>
      </c>
      <c r="F21" s="37">
        <v>20</v>
      </c>
    </row>
    <row r="22" spans="1:6" s="237" customFormat="1" ht="30" customHeight="1" x14ac:dyDescent="0.25">
      <c r="A22" s="236"/>
      <c r="B22" s="240">
        <v>8</v>
      </c>
      <c r="C22" s="415" t="s">
        <v>256</v>
      </c>
      <c r="D22" s="416"/>
      <c r="E22" s="241" t="s">
        <v>208</v>
      </c>
      <c r="F22" s="47">
        <v>14</v>
      </c>
    </row>
    <row r="23" spans="1:6" s="237" customFormat="1" ht="30.75" customHeight="1" x14ac:dyDescent="0.25">
      <c r="A23" s="236"/>
      <c r="B23" s="238"/>
      <c r="C23" s="401" t="s">
        <v>257</v>
      </c>
      <c r="D23" s="402"/>
      <c r="E23" s="242" t="s">
        <v>208</v>
      </c>
      <c r="F23" s="37">
        <v>14</v>
      </c>
    </row>
    <row r="24" spans="1:6" s="237" customFormat="1" ht="33" customHeight="1" x14ac:dyDescent="0.25">
      <c r="A24" s="236"/>
      <c r="B24" s="240">
        <v>9</v>
      </c>
      <c r="C24" s="415" t="s">
        <v>258</v>
      </c>
      <c r="D24" s="416"/>
      <c r="E24" s="48" t="s">
        <v>8</v>
      </c>
      <c r="F24" s="49">
        <f>SUM(F25:F31)</f>
        <v>7</v>
      </c>
    </row>
    <row r="25" spans="1:6" s="237" customFormat="1" ht="23.25" customHeight="1" x14ac:dyDescent="0.25">
      <c r="A25" s="236"/>
      <c r="B25" s="238"/>
      <c r="C25" s="405" t="s">
        <v>259</v>
      </c>
      <c r="D25" s="406"/>
      <c r="E25" s="41" t="s">
        <v>8</v>
      </c>
      <c r="F25" s="39">
        <v>1</v>
      </c>
    </row>
    <row r="26" spans="1:6" s="237" customFormat="1" ht="21.75" customHeight="1" x14ac:dyDescent="0.25">
      <c r="A26" s="236"/>
      <c r="B26" s="238"/>
      <c r="C26" s="405" t="s">
        <v>260</v>
      </c>
      <c r="D26" s="406"/>
      <c r="E26" s="41" t="s">
        <v>8</v>
      </c>
      <c r="F26" s="39">
        <v>1</v>
      </c>
    </row>
    <row r="27" spans="1:6" s="237" customFormat="1" ht="21.75" customHeight="1" x14ac:dyDescent="0.25">
      <c r="A27" s="236"/>
      <c r="B27" s="238"/>
      <c r="C27" s="405" t="s">
        <v>261</v>
      </c>
      <c r="D27" s="406"/>
      <c r="E27" s="41" t="s">
        <v>8</v>
      </c>
      <c r="F27" s="39">
        <v>1</v>
      </c>
    </row>
    <row r="28" spans="1:6" s="237" customFormat="1" ht="21.75" customHeight="1" x14ac:dyDescent="0.25">
      <c r="A28" s="236"/>
      <c r="B28" s="238"/>
      <c r="C28" s="405" t="s">
        <v>262</v>
      </c>
      <c r="D28" s="406"/>
      <c r="E28" s="41" t="s">
        <v>8</v>
      </c>
      <c r="F28" s="39">
        <v>1</v>
      </c>
    </row>
    <row r="29" spans="1:6" s="237" customFormat="1" ht="21.75" customHeight="1" x14ac:dyDescent="0.25">
      <c r="A29" s="236"/>
      <c r="B29" s="238"/>
      <c r="C29" s="405" t="s">
        <v>263</v>
      </c>
      <c r="D29" s="406"/>
      <c r="E29" s="41" t="s">
        <v>8</v>
      </c>
      <c r="F29" s="39">
        <v>1</v>
      </c>
    </row>
    <row r="30" spans="1:6" s="237" customFormat="1" ht="21.75" customHeight="1" x14ac:dyDescent="0.25">
      <c r="A30" s="236"/>
      <c r="B30" s="238"/>
      <c r="C30" s="405" t="s">
        <v>264</v>
      </c>
      <c r="D30" s="406"/>
      <c r="E30" s="41" t="s">
        <v>8</v>
      </c>
      <c r="F30" s="39">
        <v>1</v>
      </c>
    </row>
    <row r="31" spans="1:6" s="237" customFormat="1" ht="30.75" customHeight="1" x14ac:dyDescent="0.25">
      <c r="A31" s="236"/>
      <c r="B31" s="238"/>
      <c r="C31" s="405" t="s">
        <v>265</v>
      </c>
      <c r="D31" s="406"/>
      <c r="E31" s="41" t="s">
        <v>8</v>
      </c>
      <c r="F31" s="39">
        <v>1</v>
      </c>
    </row>
    <row r="32" spans="1:6" s="243" customFormat="1" ht="33" customHeight="1" x14ac:dyDescent="0.25">
      <c r="A32" s="236"/>
      <c r="B32" s="240">
        <v>10</v>
      </c>
      <c r="C32" s="407" t="s">
        <v>266</v>
      </c>
      <c r="D32" s="408"/>
      <c r="E32" s="48" t="s">
        <v>208</v>
      </c>
      <c r="F32" s="48">
        <v>18</v>
      </c>
    </row>
    <row r="33" spans="1:6" s="243" customFormat="1" ht="21" customHeight="1" x14ac:dyDescent="0.25">
      <c r="A33" s="236"/>
      <c r="B33" s="238"/>
      <c r="C33" s="401" t="s">
        <v>267</v>
      </c>
      <c r="D33" s="402"/>
      <c r="E33" s="41" t="s">
        <v>208</v>
      </c>
      <c r="F33" s="38">
        <f>F32</f>
        <v>18</v>
      </c>
    </row>
    <row r="34" spans="1:6" s="243" customFormat="1" ht="36.75" customHeight="1" x14ac:dyDescent="0.25">
      <c r="A34" s="236"/>
      <c r="B34" s="240">
        <v>11</v>
      </c>
      <c r="C34" s="415" t="s">
        <v>268</v>
      </c>
      <c r="D34" s="416"/>
      <c r="E34" s="48" t="s">
        <v>208</v>
      </c>
      <c r="F34" s="48">
        <v>26</v>
      </c>
    </row>
    <row r="35" spans="1:6" s="243" customFormat="1" ht="21" customHeight="1" x14ac:dyDescent="0.25">
      <c r="A35" s="236"/>
      <c r="B35" s="238"/>
      <c r="C35" s="401" t="s">
        <v>269</v>
      </c>
      <c r="D35" s="402"/>
      <c r="E35" s="41" t="s">
        <v>208</v>
      </c>
      <c r="F35" s="38">
        <v>26</v>
      </c>
    </row>
    <row r="36" spans="1:6" s="243" customFormat="1" ht="21" customHeight="1" x14ac:dyDescent="0.25">
      <c r="A36" s="236"/>
      <c r="B36" s="238"/>
      <c r="C36" s="417" t="s">
        <v>270</v>
      </c>
      <c r="D36" s="418"/>
      <c r="E36" s="38" t="s">
        <v>51</v>
      </c>
      <c r="F36" s="40">
        <f>11</f>
        <v>11</v>
      </c>
    </row>
    <row r="37" spans="1:6" s="243" customFormat="1" ht="33.75" customHeight="1" x14ac:dyDescent="0.25">
      <c r="A37" s="236"/>
      <c r="B37" s="240">
        <v>12</v>
      </c>
      <c r="C37" s="407" t="s">
        <v>271</v>
      </c>
      <c r="D37" s="408"/>
      <c r="E37" s="48" t="s">
        <v>208</v>
      </c>
      <c r="F37" s="48">
        <v>60</v>
      </c>
    </row>
    <row r="38" spans="1:6" s="243" customFormat="1" ht="21.75" customHeight="1" x14ac:dyDescent="0.25">
      <c r="A38" s="236"/>
      <c r="B38" s="238"/>
      <c r="C38" s="401" t="s">
        <v>272</v>
      </c>
      <c r="D38" s="419"/>
      <c r="E38" s="244" t="s">
        <v>208</v>
      </c>
      <c r="F38" s="41">
        <v>60</v>
      </c>
    </row>
    <row r="39" spans="1:6" s="243" customFormat="1" ht="21.75" customHeight="1" x14ac:dyDescent="0.25">
      <c r="A39" s="236"/>
      <c r="B39" s="238"/>
      <c r="C39" s="401" t="s">
        <v>273</v>
      </c>
      <c r="D39" s="402"/>
      <c r="E39" s="244" t="s">
        <v>51</v>
      </c>
      <c r="F39" s="41">
        <v>3</v>
      </c>
    </row>
    <row r="40" spans="1:6" s="243" customFormat="1" ht="21.75" customHeight="1" x14ac:dyDescent="0.25">
      <c r="A40" s="236"/>
      <c r="B40" s="238"/>
      <c r="C40" s="401" t="s">
        <v>274</v>
      </c>
      <c r="D40" s="402"/>
      <c r="E40" s="244" t="s">
        <v>51</v>
      </c>
      <c r="F40" s="41">
        <v>6</v>
      </c>
    </row>
    <row r="41" spans="1:6" s="243" customFormat="1" ht="32.25" customHeight="1" x14ac:dyDescent="0.25">
      <c r="A41" s="236"/>
      <c r="B41" s="238"/>
      <c r="C41" s="401" t="s">
        <v>275</v>
      </c>
      <c r="D41" s="402"/>
      <c r="E41" s="244" t="s">
        <v>51</v>
      </c>
      <c r="F41" s="41">
        <v>6</v>
      </c>
    </row>
    <row r="42" spans="1:6" s="243" customFormat="1" ht="22.5" customHeight="1" x14ac:dyDescent="0.25">
      <c r="A42" s="236"/>
      <c r="B42" s="238"/>
      <c r="C42" s="420" t="s">
        <v>276</v>
      </c>
      <c r="D42" s="421"/>
      <c r="E42" s="244" t="s">
        <v>8</v>
      </c>
      <c r="F42" s="41">
        <v>2</v>
      </c>
    </row>
    <row r="43" spans="1:6" s="243" customFormat="1" ht="31.5" customHeight="1" x14ac:dyDescent="0.25">
      <c r="A43" s="236"/>
      <c r="B43" s="240">
        <v>13</v>
      </c>
      <c r="C43" s="407" t="s">
        <v>277</v>
      </c>
      <c r="D43" s="408"/>
      <c r="E43" s="48" t="s">
        <v>208</v>
      </c>
      <c r="F43" s="48">
        <f>F44</f>
        <v>18</v>
      </c>
    </row>
    <row r="44" spans="1:6" s="243" customFormat="1" ht="22.5" customHeight="1" x14ac:dyDescent="0.25">
      <c r="A44" s="236"/>
      <c r="B44" s="238"/>
      <c r="C44" s="401" t="s">
        <v>278</v>
      </c>
      <c r="D44" s="419"/>
      <c r="E44" s="244" t="s">
        <v>208</v>
      </c>
      <c r="F44" s="41">
        <v>18</v>
      </c>
    </row>
    <row r="45" spans="1:6" s="243" customFormat="1" ht="22.5" customHeight="1" x14ac:dyDescent="0.25">
      <c r="A45" s="236"/>
      <c r="B45" s="238"/>
      <c r="C45" s="401" t="s">
        <v>279</v>
      </c>
      <c r="D45" s="402"/>
      <c r="E45" s="244" t="s">
        <v>51</v>
      </c>
      <c r="F45" s="41">
        <v>3</v>
      </c>
    </row>
    <row r="46" spans="1:6" s="243" customFormat="1" ht="29.25" customHeight="1" x14ac:dyDescent="0.25">
      <c r="A46" s="236"/>
      <c r="B46" s="240">
        <v>14</v>
      </c>
      <c r="C46" s="413" t="s">
        <v>280</v>
      </c>
      <c r="D46" s="414"/>
      <c r="E46" s="245" t="s">
        <v>240</v>
      </c>
      <c r="F46" s="48">
        <f>SUM(F47:F48)</f>
        <v>312</v>
      </c>
    </row>
    <row r="47" spans="1:6" s="243" customFormat="1" ht="22.5" customHeight="1" x14ac:dyDescent="0.25">
      <c r="A47" s="236"/>
      <c r="B47" s="238"/>
      <c r="C47" s="401" t="s">
        <v>281</v>
      </c>
      <c r="D47" s="402"/>
      <c r="E47" s="244" t="s">
        <v>240</v>
      </c>
      <c r="F47" s="41">
        <v>307</v>
      </c>
    </row>
    <row r="48" spans="1:6" s="243" customFormat="1" ht="29.25" customHeight="1" x14ac:dyDescent="0.25">
      <c r="A48" s="236"/>
      <c r="B48" s="238"/>
      <c r="C48" s="401" t="s">
        <v>282</v>
      </c>
      <c r="D48" s="402"/>
      <c r="E48" s="244" t="s">
        <v>240</v>
      </c>
      <c r="F48" s="41">
        <v>5</v>
      </c>
    </row>
    <row r="49" spans="1:6" s="243" customFormat="1" ht="22.5" customHeight="1" x14ac:dyDescent="0.25">
      <c r="A49" s="236"/>
      <c r="B49" s="238"/>
      <c r="C49" s="401" t="s">
        <v>283</v>
      </c>
      <c r="D49" s="402"/>
      <c r="E49" s="244" t="s">
        <v>240</v>
      </c>
      <c r="F49" s="41">
        <v>1</v>
      </c>
    </row>
    <row r="50" spans="1:6" s="243" customFormat="1" ht="31.5" customHeight="1" x14ac:dyDescent="0.25">
      <c r="A50" s="236"/>
      <c r="B50" s="238"/>
      <c r="C50" s="401" t="s">
        <v>284</v>
      </c>
      <c r="D50" s="402"/>
      <c r="E50" s="244" t="s">
        <v>240</v>
      </c>
      <c r="F50" s="41">
        <v>53</v>
      </c>
    </row>
    <row r="51" spans="1:6" s="243" customFormat="1" ht="28.5" customHeight="1" x14ac:dyDescent="0.25">
      <c r="A51" s="236"/>
      <c r="B51" s="238"/>
      <c r="C51" s="401" t="s">
        <v>285</v>
      </c>
      <c r="D51" s="402"/>
      <c r="E51" s="244" t="s">
        <v>8</v>
      </c>
      <c r="F51" s="41">
        <v>53</v>
      </c>
    </row>
    <row r="52" spans="1:6" s="243" customFormat="1" ht="22.5" customHeight="1" x14ac:dyDescent="0.25">
      <c r="A52" s="236"/>
      <c r="B52" s="238"/>
      <c r="C52" s="401" t="s">
        <v>286</v>
      </c>
      <c r="D52" s="402"/>
      <c r="E52" s="244" t="s">
        <v>8</v>
      </c>
      <c r="F52" s="41">
        <v>7</v>
      </c>
    </row>
    <row r="53" spans="1:6" s="243" customFormat="1" ht="45" customHeight="1" x14ac:dyDescent="0.25">
      <c r="A53" s="236"/>
      <c r="B53" s="238"/>
      <c r="C53" s="401" t="s">
        <v>287</v>
      </c>
      <c r="D53" s="402"/>
      <c r="E53" s="244" t="s">
        <v>8</v>
      </c>
      <c r="F53" s="41">
        <v>5</v>
      </c>
    </row>
    <row r="54" spans="1:6" s="243" customFormat="1" ht="22.5" customHeight="1" x14ac:dyDescent="0.25">
      <c r="A54" s="236"/>
      <c r="B54" s="238"/>
      <c r="C54" s="401" t="s">
        <v>288</v>
      </c>
      <c r="D54" s="402"/>
      <c r="E54" s="244" t="s">
        <v>8</v>
      </c>
      <c r="F54" s="41">
        <v>11</v>
      </c>
    </row>
    <row r="55" spans="1:6" s="243" customFormat="1" ht="29.25" customHeight="1" x14ac:dyDescent="0.25">
      <c r="A55" s="236"/>
      <c r="B55" s="238"/>
      <c r="C55" s="401" t="s">
        <v>289</v>
      </c>
      <c r="D55" s="402"/>
      <c r="E55" s="244" t="s">
        <v>8</v>
      </c>
      <c r="F55" s="41">
        <v>1</v>
      </c>
    </row>
    <row r="56" spans="1:6" s="243" customFormat="1" ht="49.5" customHeight="1" x14ac:dyDescent="0.25">
      <c r="A56" s="236"/>
      <c r="B56" s="240">
        <v>15</v>
      </c>
      <c r="C56" s="407" t="s">
        <v>290</v>
      </c>
      <c r="D56" s="408"/>
      <c r="E56" s="48" t="s">
        <v>291</v>
      </c>
      <c r="F56" s="48">
        <v>14</v>
      </c>
    </row>
    <row r="57" spans="1:6" s="243" customFormat="1" ht="21.75" customHeight="1" x14ac:dyDescent="0.25">
      <c r="A57" s="236"/>
      <c r="B57" s="238"/>
      <c r="C57" s="411" t="s">
        <v>292</v>
      </c>
      <c r="D57" s="412"/>
      <c r="E57" s="242" t="s">
        <v>7</v>
      </c>
      <c r="F57" s="42">
        <f>F56*1.05*2</f>
        <v>29.400000000000002</v>
      </c>
    </row>
    <row r="58" spans="1:6" s="243" customFormat="1" ht="21.75" customHeight="1" x14ac:dyDescent="0.25">
      <c r="A58" s="236"/>
      <c r="B58" s="238"/>
      <c r="C58" s="411" t="s">
        <v>293</v>
      </c>
      <c r="D58" s="412"/>
      <c r="E58" s="242" t="s">
        <v>208</v>
      </c>
      <c r="F58" s="42">
        <f>F56*3.6</f>
        <v>50.4</v>
      </c>
    </row>
    <row r="59" spans="1:6" s="243" customFormat="1" ht="21.75" customHeight="1" x14ac:dyDescent="0.25">
      <c r="A59" s="236"/>
      <c r="B59" s="238"/>
      <c r="C59" s="411" t="s">
        <v>294</v>
      </c>
      <c r="D59" s="412"/>
      <c r="E59" s="242" t="s">
        <v>208</v>
      </c>
      <c r="F59" s="42">
        <f>F56*3.6</f>
        <v>50.4</v>
      </c>
    </row>
    <row r="60" spans="1:6" s="243" customFormat="1" ht="21.75" customHeight="1" x14ac:dyDescent="0.25">
      <c r="A60" s="236"/>
      <c r="B60" s="238"/>
      <c r="C60" s="411" t="s">
        <v>295</v>
      </c>
      <c r="D60" s="412"/>
      <c r="E60" s="242" t="s">
        <v>208</v>
      </c>
      <c r="F60" s="42">
        <f>F56*3.4</f>
        <v>47.6</v>
      </c>
    </row>
    <row r="61" spans="1:6" s="243" customFormat="1" ht="21.75" customHeight="1" x14ac:dyDescent="0.25">
      <c r="A61" s="236"/>
      <c r="B61" s="238"/>
      <c r="C61" s="411" t="s">
        <v>296</v>
      </c>
      <c r="D61" s="412" t="s">
        <v>297</v>
      </c>
      <c r="E61" s="242" t="s">
        <v>8</v>
      </c>
      <c r="F61" s="43">
        <f>F56*55</f>
        <v>770</v>
      </c>
    </row>
    <row r="62" spans="1:6" s="243" customFormat="1" ht="21.75" customHeight="1" x14ac:dyDescent="0.25">
      <c r="A62" s="236"/>
      <c r="B62" s="238"/>
      <c r="C62" s="411" t="s">
        <v>298</v>
      </c>
      <c r="D62" s="412"/>
      <c r="E62" s="242" t="s">
        <v>8</v>
      </c>
      <c r="F62" s="43">
        <f>F56*8</f>
        <v>112</v>
      </c>
    </row>
    <row r="63" spans="1:6" s="243" customFormat="1" ht="21.75" customHeight="1" x14ac:dyDescent="0.25">
      <c r="A63" s="236"/>
      <c r="B63" s="238"/>
      <c r="C63" s="401" t="s">
        <v>299</v>
      </c>
      <c r="D63" s="412"/>
      <c r="E63" s="41" t="s">
        <v>8</v>
      </c>
      <c r="F63" s="41">
        <f>3</f>
        <v>3</v>
      </c>
    </row>
    <row r="64" spans="1:6" s="243" customFormat="1" ht="27" customHeight="1" x14ac:dyDescent="0.25">
      <c r="A64" s="236"/>
      <c r="B64" s="240">
        <v>16</v>
      </c>
      <c r="C64" s="413" t="s">
        <v>300</v>
      </c>
      <c r="D64" s="414"/>
      <c r="E64" s="48" t="s">
        <v>8</v>
      </c>
      <c r="F64" s="48">
        <v>1</v>
      </c>
    </row>
    <row r="65" spans="1:6" s="243" customFormat="1" ht="21.75" customHeight="1" x14ac:dyDescent="0.25">
      <c r="A65" s="236"/>
      <c r="B65" s="238"/>
      <c r="C65" s="401" t="s">
        <v>301</v>
      </c>
      <c r="D65" s="402"/>
      <c r="E65" s="41" t="s">
        <v>8</v>
      </c>
      <c r="F65" s="41">
        <v>1</v>
      </c>
    </row>
    <row r="66" spans="1:6" s="243" customFormat="1" ht="27.75" customHeight="1" x14ac:dyDescent="0.25">
      <c r="A66" s="236"/>
      <c r="B66" s="238"/>
      <c r="C66" s="401" t="s">
        <v>302</v>
      </c>
      <c r="D66" s="402"/>
      <c r="E66" s="41" t="s">
        <v>8</v>
      </c>
      <c r="F66" s="41">
        <v>1</v>
      </c>
    </row>
    <row r="67" spans="1:6" s="243" customFormat="1" ht="33.75" customHeight="1" x14ac:dyDescent="0.25">
      <c r="A67" s="236"/>
      <c r="B67" s="238"/>
      <c r="C67" s="405" t="s">
        <v>303</v>
      </c>
      <c r="D67" s="406"/>
      <c r="E67" s="41" t="s">
        <v>8</v>
      </c>
      <c r="F67" s="39">
        <v>1</v>
      </c>
    </row>
    <row r="68" spans="1:6" s="248" customFormat="1" ht="32.25" customHeight="1" x14ac:dyDescent="0.25">
      <c r="A68" s="246"/>
      <c r="B68" s="247">
        <v>17</v>
      </c>
      <c r="C68" s="401" t="s">
        <v>304</v>
      </c>
      <c r="D68" s="402"/>
      <c r="E68" s="38" t="s">
        <v>305</v>
      </c>
      <c r="F68" s="38">
        <v>3</v>
      </c>
    </row>
    <row r="69" spans="1:6" s="248" customFormat="1" ht="32.25" customHeight="1" x14ac:dyDescent="0.25">
      <c r="A69" s="246"/>
      <c r="B69" s="247"/>
      <c r="C69" s="409" t="s">
        <v>306</v>
      </c>
      <c r="D69" s="410"/>
      <c r="E69" s="38"/>
      <c r="F69" s="38"/>
    </row>
    <row r="70" spans="1:6" s="248" customFormat="1" ht="21.75" customHeight="1" x14ac:dyDescent="0.25">
      <c r="A70" s="246"/>
      <c r="B70" s="249">
        <v>19</v>
      </c>
      <c r="C70" s="424" t="s">
        <v>854</v>
      </c>
      <c r="D70" s="425"/>
      <c r="E70" s="48" t="s">
        <v>8</v>
      </c>
      <c r="F70" s="49">
        <f>F71</f>
        <v>6</v>
      </c>
    </row>
    <row r="71" spans="1:6" s="248" customFormat="1" ht="30.75" customHeight="1" x14ac:dyDescent="0.25">
      <c r="A71" s="246"/>
      <c r="B71" s="247"/>
      <c r="C71" s="401" t="s">
        <v>307</v>
      </c>
      <c r="D71" s="412"/>
      <c r="E71" s="41" t="s">
        <v>8</v>
      </c>
      <c r="F71" s="41">
        <v>6</v>
      </c>
    </row>
    <row r="72" spans="1:6" s="248" customFormat="1" ht="31.5" customHeight="1" x14ac:dyDescent="0.25">
      <c r="A72" s="246"/>
      <c r="B72" s="241">
        <v>20</v>
      </c>
      <c r="C72" s="415" t="s">
        <v>308</v>
      </c>
      <c r="D72" s="416"/>
      <c r="E72" s="48" t="s">
        <v>240</v>
      </c>
      <c r="F72" s="49">
        <f>F73</f>
        <v>6</v>
      </c>
    </row>
    <row r="73" spans="1:6" s="248" customFormat="1" ht="21.75" customHeight="1" x14ac:dyDescent="0.25">
      <c r="A73" s="246"/>
      <c r="B73" s="247"/>
      <c r="C73" s="422" t="s">
        <v>309</v>
      </c>
      <c r="D73" s="412"/>
      <c r="E73" s="38" t="s">
        <v>51</v>
      </c>
      <c r="F73" s="40">
        <v>6</v>
      </c>
    </row>
    <row r="74" spans="1:6" s="248" customFormat="1" ht="34.5" customHeight="1" x14ac:dyDescent="0.25">
      <c r="A74" s="246"/>
      <c r="B74" s="249">
        <v>21</v>
      </c>
      <c r="C74" s="423" t="s">
        <v>310</v>
      </c>
      <c r="D74" s="410"/>
      <c r="E74" s="48" t="s">
        <v>208</v>
      </c>
      <c r="F74" s="48">
        <f>F75</f>
        <v>48</v>
      </c>
    </row>
    <row r="75" spans="1:6" s="243" customFormat="1" ht="21.75" customHeight="1" x14ac:dyDescent="0.25">
      <c r="A75" s="236"/>
      <c r="B75" s="247"/>
      <c r="C75" s="411" t="s">
        <v>311</v>
      </c>
      <c r="D75" s="412"/>
      <c r="E75" s="38" t="s">
        <v>208</v>
      </c>
      <c r="F75" s="38">
        <f>48</f>
        <v>48</v>
      </c>
    </row>
    <row r="76" spans="1:6" s="248" customFormat="1" ht="31.5" customHeight="1" x14ac:dyDescent="0.25">
      <c r="A76" s="246"/>
      <c r="B76" s="249">
        <v>22</v>
      </c>
      <c r="C76" s="424" t="s">
        <v>855</v>
      </c>
      <c r="D76" s="425"/>
      <c r="E76" s="48" t="s">
        <v>208</v>
      </c>
      <c r="F76" s="48">
        <f>F77</f>
        <v>48</v>
      </c>
    </row>
    <row r="77" spans="1:6" s="248" customFormat="1" ht="30.75" customHeight="1" x14ac:dyDescent="0.25">
      <c r="A77" s="246"/>
      <c r="B77" s="238"/>
      <c r="C77" s="427" t="s">
        <v>312</v>
      </c>
      <c r="D77" s="428"/>
      <c r="E77" s="41" t="s">
        <v>208</v>
      </c>
      <c r="F77" s="39">
        <v>48</v>
      </c>
    </row>
    <row r="78" spans="1:6" s="248" customFormat="1" ht="30" customHeight="1" x14ac:dyDescent="0.25">
      <c r="A78" s="246"/>
      <c r="B78" s="238"/>
      <c r="C78" s="422" t="s">
        <v>313</v>
      </c>
      <c r="D78" s="412"/>
      <c r="E78" s="41" t="s">
        <v>8</v>
      </c>
      <c r="F78" s="41">
        <v>12</v>
      </c>
    </row>
    <row r="79" spans="1:6" s="243" customFormat="1" ht="20.100000000000001" customHeight="1" x14ac:dyDescent="0.25">
      <c r="A79" s="236"/>
      <c r="B79" s="238"/>
      <c r="C79" s="429" t="s">
        <v>314</v>
      </c>
      <c r="D79" s="430"/>
      <c r="E79" s="38"/>
      <c r="F79" s="38"/>
    </row>
    <row r="80" spans="1:6" s="243" customFormat="1" ht="21.75" customHeight="1" x14ac:dyDescent="0.25">
      <c r="A80" s="236"/>
      <c r="B80" s="240">
        <v>24</v>
      </c>
      <c r="C80" s="424" t="s">
        <v>856</v>
      </c>
      <c r="D80" s="425"/>
      <c r="E80" s="48" t="s">
        <v>240</v>
      </c>
      <c r="F80" s="49">
        <f>F81</f>
        <v>12</v>
      </c>
    </row>
    <row r="81" spans="1:6" s="243" customFormat="1" ht="21.75" customHeight="1" x14ac:dyDescent="0.25">
      <c r="A81" s="236"/>
      <c r="B81" s="238"/>
      <c r="C81" s="427" t="s">
        <v>315</v>
      </c>
      <c r="D81" s="428"/>
      <c r="E81" s="41" t="s">
        <v>240</v>
      </c>
      <c r="F81" s="39">
        <f>12</f>
        <v>12</v>
      </c>
    </row>
    <row r="82" spans="1:6" s="243" customFormat="1" ht="30" customHeight="1" x14ac:dyDescent="0.25">
      <c r="A82" s="236"/>
      <c r="B82" s="249">
        <v>25</v>
      </c>
      <c r="C82" s="424" t="s">
        <v>857</v>
      </c>
      <c r="D82" s="425"/>
      <c r="E82" s="48" t="s">
        <v>240</v>
      </c>
      <c r="F82" s="49">
        <v>6</v>
      </c>
    </row>
    <row r="83" spans="1:6" s="243" customFormat="1" ht="22.5" customHeight="1" x14ac:dyDescent="0.25">
      <c r="A83" s="236"/>
      <c r="B83" s="247"/>
      <c r="C83" s="422" t="s">
        <v>316</v>
      </c>
      <c r="D83" s="412"/>
      <c r="E83" s="41" t="s">
        <v>51</v>
      </c>
      <c r="F83" s="39">
        <v>6</v>
      </c>
    </row>
    <row r="84" spans="1:6" s="248" customFormat="1" ht="22.5" customHeight="1" x14ac:dyDescent="0.25">
      <c r="A84" s="246"/>
      <c r="B84" s="247"/>
      <c r="C84" s="422" t="s">
        <v>317</v>
      </c>
      <c r="D84" s="426"/>
      <c r="E84" s="41" t="s">
        <v>318</v>
      </c>
      <c r="F84" s="39">
        <v>6</v>
      </c>
    </row>
    <row r="85" spans="1:6" s="248" customFormat="1" ht="30" customHeight="1" x14ac:dyDescent="0.25">
      <c r="A85" s="246"/>
      <c r="B85" s="249">
        <v>26</v>
      </c>
      <c r="C85" s="424" t="s">
        <v>858</v>
      </c>
      <c r="D85" s="425"/>
      <c r="E85" s="48" t="s">
        <v>8</v>
      </c>
      <c r="F85" s="49">
        <v>1</v>
      </c>
    </row>
    <row r="86" spans="1:6" s="248" customFormat="1" ht="29.25" customHeight="1" x14ac:dyDescent="0.25">
      <c r="A86" s="246"/>
      <c r="B86" s="247"/>
      <c r="C86" s="411" t="s">
        <v>319</v>
      </c>
      <c r="D86" s="412"/>
      <c r="E86" s="41" t="s">
        <v>51</v>
      </c>
      <c r="F86" s="39">
        <v>1</v>
      </c>
    </row>
    <row r="87" spans="1:6" s="248" customFormat="1" ht="30.75" customHeight="1" x14ac:dyDescent="0.25">
      <c r="A87" s="246"/>
      <c r="B87" s="249">
        <v>27</v>
      </c>
      <c r="C87" s="424" t="s">
        <v>859</v>
      </c>
      <c r="D87" s="425"/>
      <c r="E87" s="48" t="s">
        <v>320</v>
      </c>
      <c r="F87" s="48">
        <v>2</v>
      </c>
    </row>
    <row r="88" spans="1:6" s="248" customFormat="1" ht="21.75" customHeight="1" x14ac:dyDescent="0.25">
      <c r="A88" s="246"/>
      <c r="B88" s="238"/>
      <c r="C88" s="427" t="s">
        <v>321</v>
      </c>
      <c r="D88" s="428"/>
      <c r="E88" s="41" t="s">
        <v>51</v>
      </c>
      <c r="F88" s="39">
        <v>1</v>
      </c>
    </row>
    <row r="89" spans="1:6" s="248" customFormat="1" ht="21.75" customHeight="1" x14ac:dyDescent="0.25">
      <c r="A89" s="246"/>
      <c r="B89" s="247"/>
      <c r="C89" s="427" t="s">
        <v>322</v>
      </c>
      <c r="D89" s="428"/>
      <c r="E89" s="41" t="s">
        <v>51</v>
      </c>
      <c r="F89" s="39">
        <v>1</v>
      </c>
    </row>
    <row r="90" spans="1:6" s="248" customFormat="1" ht="21.75" customHeight="1" x14ac:dyDescent="0.25">
      <c r="A90" s="246"/>
      <c r="B90" s="247"/>
      <c r="C90" s="427" t="s">
        <v>323</v>
      </c>
      <c r="D90" s="432"/>
      <c r="E90" s="41" t="s">
        <v>51</v>
      </c>
      <c r="F90" s="39">
        <v>1</v>
      </c>
    </row>
    <row r="91" spans="1:6" s="248" customFormat="1" ht="21.75" customHeight="1" x14ac:dyDescent="0.25">
      <c r="A91" s="246"/>
      <c r="B91" s="247"/>
      <c r="C91" s="427" t="s">
        <v>324</v>
      </c>
      <c r="D91" s="432"/>
      <c r="E91" s="41" t="s">
        <v>51</v>
      </c>
      <c r="F91" s="39">
        <v>2</v>
      </c>
    </row>
    <row r="92" spans="1:6" s="248" customFormat="1" ht="21.75" customHeight="1" x14ac:dyDescent="0.25">
      <c r="A92" s="246"/>
      <c r="B92" s="239"/>
      <c r="C92" s="427" t="s">
        <v>325</v>
      </c>
      <c r="D92" s="428"/>
      <c r="E92" s="41" t="s">
        <v>51</v>
      </c>
      <c r="F92" s="39">
        <v>6</v>
      </c>
    </row>
    <row r="93" spans="1:6" s="248" customFormat="1" ht="47.25" customHeight="1" x14ac:dyDescent="0.25">
      <c r="A93" s="246"/>
      <c r="B93" s="240">
        <v>28</v>
      </c>
      <c r="C93" s="423" t="s">
        <v>326</v>
      </c>
      <c r="D93" s="431"/>
      <c r="E93" s="48" t="s">
        <v>208</v>
      </c>
      <c r="F93" s="49">
        <f>F94</f>
        <v>42</v>
      </c>
    </row>
    <row r="94" spans="1:6" s="248" customFormat="1" ht="22.5" customHeight="1" x14ac:dyDescent="0.25">
      <c r="A94" s="246"/>
      <c r="B94" s="238"/>
      <c r="C94" s="422" t="s">
        <v>327</v>
      </c>
      <c r="D94" s="426"/>
      <c r="E94" s="41" t="s">
        <v>208</v>
      </c>
      <c r="F94" s="39">
        <v>42</v>
      </c>
    </row>
    <row r="95" spans="1:6" s="248" customFormat="1" ht="48.75" customHeight="1" x14ac:dyDescent="0.25">
      <c r="A95" s="246"/>
      <c r="B95" s="240">
        <v>29</v>
      </c>
      <c r="C95" s="423" t="s">
        <v>328</v>
      </c>
      <c r="D95" s="431"/>
      <c r="E95" s="48" t="s">
        <v>208</v>
      </c>
      <c r="F95" s="49">
        <f>F96</f>
        <v>43</v>
      </c>
    </row>
    <row r="96" spans="1:6" s="248" customFormat="1" ht="22.5" customHeight="1" x14ac:dyDescent="0.25">
      <c r="A96" s="246"/>
      <c r="B96" s="238"/>
      <c r="C96" s="422" t="s">
        <v>329</v>
      </c>
      <c r="D96" s="426"/>
      <c r="E96" s="41" t="s">
        <v>208</v>
      </c>
      <c r="F96" s="39">
        <v>43</v>
      </c>
    </row>
    <row r="97" spans="1:6" s="248" customFormat="1" ht="48" customHeight="1" x14ac:dyDescent="0.25">
      <c r="A97" s="246"/>
      <c r="B97" s="240">
        <v>30</v>
      </c>
      <c r="C97" s="423" t="s">
        <v>330</v>
      </c>
      <c r="D97" s="431"/>
      <c r="E97" s="48" t="s">
        <v>208</v>
      </c>
      <c r="F97" s="49">
        <f>F98</f>
        <v>78</v>
      </c>
    </row>
    <row r="98" spans="1:6" s="248" customFormat="1" ht="21.75" customHeight="1" x14ac:dyDescent="0.25">
      <c r="A98" s="246"/>
      <c r="B98" s="238"/>
      <c r="C98" s="422" t="s">
        <v>331</v>
      </c>
      <c r="D98" s="426"/>
      <c r="E98" s="41" t="s">
        <v>208</v>
      </c>
      <c r="F98" s="39">
        <v>78</v>
      </c>
    </row>
    <row r="99" spans="1:6" s="248" customFormat="1" ht="21.75" customHeight="1" x14ac:dyDescent="0.25">
      <c r="A99" s="246"/>
      <c r="B99" s="240">
        <v>31</v>
      </c>
      <c r="C99" s="424" t="s">
        <v>860</v>
      </c>
      <c r="D99" s="425"/>
      <c r="E99" s="48" t="s">
        <v>208</v>
      </c>
      <c r="F99" s="48">
        <f>SUM(F100:F101)</f>
        <v>68</v>
      </c>
    </row>
    <row r="100" spans="1:6" s="248" customFormat="1" ht="33.75" customHeight="1" x14ac:dyDescent="0.25">
      <c r="A100" s="246"/>
      <c r="B100" s="238"/>
      <c r="C100" s="427" t="s">
        <v>332</v>
      </c>
      <c r="D100" s="432"/>
      <c r="E100" s="41" t="s">
        <v>208</v>
      </c>
      <c r="F100" s="41">
        <v>42</v>
      </c>
    </row>
    <row r="101" spans="1:6" s="248" customFormat="1" ht="33.75" customHeight="1" x14ac:dyDescent="0.25">
      <c r="A101" s="246"/>
      <c r="B101" s="238"/>
      <c r="C101" s="427" t="s">
        <v>333</v>
      </c>
      <c r="D101" s="432"/>
      <c r="E101" s="41" t="s">
        <v>208</v>
      </c>
      <c r="F101" s="41">
        <v>26</v>
      </c>
    </row>
    <row r="102" spans="1:6" s="248" customFormat="1" ht="32.25" customHeight="1" x14ac:dyDescent="0.25">
      <c r="A102" s="246"/>
      <c r="B102" s="238"/>
      <c r="C102" s="427" t="s">
        <v>334</v>
      </c>
      <c r="D102" s="432"/>
      <c r="E102" s="41" t="s">
        <v>208</v>
      </c>
      <c r="F102" s="41">
        <f>17+78</f>
        <v>95</v>
      </c>
    </row>
    <row r="103" spans="1:6" s="243" customFormat="1" ht="32.25" customHeight="1" x14ac:dyDescent="0.25">
      <c r="A103" s="236"/>
      <c r="B103" s="249">
        <v>32</v>
      </c>
      <c r="C103" s="424" t="s">
        <v>861</v>
      </c>
      <c r="D103" s="425"/>
      <c r="E103" s="48" t="s">
        <v>246</v>
      </c>
      <c r="F103" s="49">
        <v>1</v>
      </c>
    </row>
    <row r="104" spans="1:6" s="248" customFormat="1" ht="22.5" customHeight="1" x14ac:dyDescent="0.25">
      <c r="A104" s="246"/>
      <c r="B104" s="247"/>
      <c r="C104" s="411" t="s">
        <v>335</v>
      </c>
      <c r="D104" s="412"/>
      <c r="E104" s="41" t="s">
        <v>51</v>
      </c>
      <c r="F104" s="39">
        <f>F103</f>
        <v>1</v>
      </c>
    </row>
    <row r="105" spans="1:6" s="248" customFormat="1" ht="29.25" customHeight="1" x14ac:dyDescent="0.25">
      <c r="A105" s="246"/>
      <c r="B105" s="247"/>
      <c r="C105" s="411" t="s">
        <v>336</v>
      </c>
      <c r="D105" s="412"/>
      <c r="E105" s="41" t="s">
        <v>51</v>
      </c>
      <c r="F105" s="39">
        <v>1</v>
      </c>
    </row>
    <row r="106" spans="1:6" s="248" customFormat="1" ht="29.25" customHeight="1" x14ac:dyDescent="0.25">
      <c r="A106" s="246"/>
      <c r="B106" s="247"/>
      <c r="C106" s="422" t="s">
        <v>337</v>
      </c>
      <c r="D106" s="426"/>
      <c r="E106" s="41" t="s">
        <v>51</v>
      </c>
      <c r="F106" s="39">
        <v>12</v>
      </c>
    </row>
    <row r="107" spans="1:6" s="248" customFormat="1" ht="29.25" customHeight="1" x14ac:dyDescent="0.25">
      <c r="A107" s="246"/>
      <c r="B107" s="247"/>
      <c r="C107" s="422" t="s">
        <v>338</v>
      </c>
      <c r="D107" s="426"/>
      <c r="E107" s="41" t="s">
        <v>51</v>
      </c>
      <c r="F107" s="39">
        <v>6</v>
      </c>
    </row>
    <row r="108" spans="1:6" s="248" customFormat="1" ht="29.25" customHeight="1" x14ac:dyDescent="0.25">
      <c r="A108" s="246"/>
      <c r="B108" s="247"/>
      <c r="C108" s="422" t="s">
        <v>339</v>
      </c>
      <c r="D108" s="426"/>
      <c r="E108" s="41" t="s">
        <v>51</v>
      </c>
      <c r="F108" s="39">
        <v>6</v>
      </c>
    </row>
    <row r="109" spans="1:6" s="248" customFormat="1" ht="29.25" customHeight="1" x14ac:dyDescent="0.25">
      <c r="A109" s="246"/>
      <c r="B109" s="247"/>
      <c r="C109" s="422" t="s">
        <v>340</v>
      </c>
      <c r="D109" s="426"/>
      <c r="E109" s="41" t="s">
        <v>51</v>
      </c>
      <c r="F109" s="39">
        <v>6</v>
      </c>
    </row>
    <row r="110" spans="1:6" s="248" customFormat="1" ht="29.25" customHeight="1" x14ac:dyDescent="0.25">
      <c r="A110" s="246"/>
      <c r="B110" s="247"/>
      <c r="C110" s="422" t="s">
        <v>341</v>
      </c>
      <c r="D110" s="426"/>
      <c r="E110" s="41" t="s">
        <v>51</v>
      </c>
      <c r="F110" s="39">
        <v>5</v>
      </c>
    </row>
    <row r="111" spans="1:6" s="243" customFormat="1" ht="30.75" customHeight="1" x14ac:dyDescent="0.25">
      <c r="A111" s="236"/>
      <c r="B111" s="247"/>
      <c r="C111" s="422" t="s">
        <v>313</v>
      </c>
      <c r="D111" s="412"/>
      <c r="E111" s="41" t="s">
        <v>8</v>
      </c>
      <c r="F111" s="41">
        <v>24</v>
      </c>
    </row>
    <row r="112" spans="1:6" ht="20.100000000000001" customHeight="1" x14ac:dyDescent="0.25">
      <c r="B112" s="251">
        <v>33</v>
      </c>
      <c r="C112" s="420" t="s">
        <v>342</v>
      </c>
      <c r="D112" s="421"/>
      <c r="E112" s="38" t="s">
        <v>305</v>
      </c>
      <c r="F112" s="38">
        <v>1</v>
      </c>
    </row>
    <row r="113" spans="2:6" ht="21" customHeight="1" x14ac:dyDescent="0.25">
      <c r="B113" s="251"/>
      <c r="C113" s="409" t="s">
        <v>343</v>
      </c>
      <c r="D113" s="410"/>
      <c r="E113" s="38"/>
      <c r="F113" s="38"/>
    </row>
    <row r="114" spans="2:6" ht="48.75" customHeight="1" x14ac:dyDescent="0.25">
      <c r="B114" s="252">
        <v>34</v>
      </c>
      <c r="C114" s="409" t="s">
        <v>344</v>
      </c>
      <c r="D114" s="410"/>
      <c r="E114" s="48" t="s">
        <v>318</v>
      </c>
      <c r="F114" s="48">
        <v>18</v>
      </c>
    </row>
    <row r="115" spans="2:6" ht="21.75" customHeight="1" x14ac:dyDescent="0.25">
      <c r="B115" s="251"/>
      <c r="C115" s="411" t="s">
        <v>345</v>
      </c>
      <c r="D115" s="412"/>
      <c r="E115" s="41" t="s">
        <v>8</v>
      </c>
      <c r="F115" s="41">
        <v>2</v>
      </c>
    </row>
    <row r="116" spans="2:6" ht="26.25" customHeight="1" x14ac:dyDescent="0.25">
      <c r="B116" s="251"/>
      <c r="C116" s="411" t="s">
        <v>346</v>
      </c>
      <c r="D116" s="412"/>
      <c r="E116" s="41" t="s">
        <v>8</v>
      </c>
      <c r="F116" s="41">
        <v>2</v>
      </c>
    </row>
    <row r="117" spans="2:6" ht="30" customHeight="1" x14ac:dyDescent="0.25">
      <c r="B117" s="251"/>
      <c r="C117" s="411" t="s">
        <v>347</v>
      </c>
      <c r="D117" s="412"/>
      <c r="E117" s="41" t="s">
        <v>8</v>
      </c>
      <c r="F117" s="41">
        <v>2</v>
      </c>
    </row>
    <row r="118" spans="2:6" ht="21.75" customHeight="1" x14ac:dyDescent="0.25">
      <c r="B118" s="251"/>
      <c r="C118" s="411" t="s">
        <v>348</v>
      </c>
      <c r="D118" s="412"/>
      <c r="E118" s="41" t="s">
        <v>8</v>
      </c>
      <c r="F118" s="41">
        <v>22</v>
      </c>
    </row>
    <row r="119" spans="2:6" ht="48" customHeight="1" x14ac:dyDescent="0.25">
      <c r="B119" s="252">
        <v>35</v>
      </c>
      <c r="C119" s="424" t="s">
        <v>862</v>
      </c>
      <c r="D119" s="425"/>
      <c r="E119" s="48" t="s">
        <v>208</v>
      </c>
      <c r="F119" s="48">
        <v>78</v>
      </c>
    </row>
    <row r="120" spans="2:6" ht="31.5" customHeight="1" x14ac:dyDescent="0.25">
      <c r="B120" s="251"/>
      <c r="C120" s="411" t="s">
        <v>349</v>
      </c>
      <c r="D120" s="412"/>
      <c r="E120" s="41" t="s">
        <v>208</v>
      </c>
      <c r="F120" s="41">
        <f>F119</f>
        <v>78</v>
      </c>
    </row>
    <row r="121" spans="2:6" ht="21" customHeight="1" x14ac:dyDescent="0.25">
      <c r="B121" s="252">
        <v>36</v>
      </c>
      <c r="C121" s="424" t="s">
        <v>863</v>
      </c>
      <c r="D121" s="425"/>
      <c r="E121" s="48" t="s">
        <v>51</v>
      </c>
      <c r="F121" s="49">
        <f>SUM(F122:F125)</f>
        <v>19</v>
      </c>
    </row>
    <row r="122" spans="2:6" ht="31.5" customHeight="1" x14ac:dyDescent="0.25">
      <c r="B122" s="251"/>
      <c r="C122" s="433" t="s">
        <v>350</v>
      </c>
      <c r="D122" s="434"/>
      <c r="E122" s="38" t="s">
        <v>51</v>
      </c>
      <c r="F122" s="40">
        <v>4</v>
      </c>
    </row>
    <row r="123" spans="2:6" ht="31.5" customHeight="1" x14ac:dyDescent="0.25">
      <c r="B123" s="251"/>
      <c r="C123" s="433" t="s">
        <v>351</v>
      </c>
      <c r="D123" s="434"/>
      <c r="E123" s="38" t="s">
        <v>51</v>
      </c>
      <c r="F123" s="40">
        <v>1</v>
      </c>
    </row>
    <row r="124" spans="2:6" ht="31.5" customHeight="1" x14ac:dyDescent="0.25">
      <c r="B124" s="251"/>
      <c r="C124" s="433" t="s">
        <v>352</v>
      </c>
      <c r="D124" s="434"/>
      <c r="E124" s="38" t="s">
        <v>51</v>
      </c>
      <c r="F124" s="40">
        <v>8</v>
      </c>
    </row>
    <row r="125" spans="2:6" ht="20.100000000000001" customHeight="1" x14ac:dyDescent="0.25">
      <c r="B125" s="251"/>
      <c r="C125" s="439" t="s">
        <v>353</v>
      </c>
      <c r="D125" s="430"/>
      <c r="E125" s="38" t="s">
        <v>8</v>
      </c>
      <c r="F125" s="38">
        <v>6</v>
      </c>
    </row>
    <row r="126" spans="2:6" ht="22.5" customHeight="1" x14ac:dyDescent="0.25">
      <c r="B126" s="251">
        <v>37</v>
      </c>
      <c r="C126" s="433" t="s">
        <v>354</v>
      </c>
      <c r="D126" s="434"/>
      <c r="E126" s="38" t="s">
        <v>51</v>
      </c>
      <c r="F126" s="40">
        <v>7</v>
      </c>
    </row>
    <row r="127" spans="2:6" ht="31.5" customHeight="1" x14ac:dyDescent="0.25">
      <c r="B127" s="251"/>
      <c r="C127" s="422" t="s">
        <v>355</v>
      </c>
      <c r="D127" s="412"/>
      <c r="E127" s="41" t="s">
        <v>51</v>
      </c>
      <c r="F127" s="39">
        <f>F126</f>
        <v>7</v>
      </c>
    </row>
    <row r="128" spans="2:6" ht="35.25" customHeight="1" x14ac:dyDescent="0.25">
      <c r="B128" s="252">
        <v>38</v>
      </c>
      <c r="C128" s="424" t="s">
        <v>864</v>
      </c>
      <c r="D128" s="425"/>
      <c r="E128" s="48" t="s">
        <v>51</v>
      </c>
      <c r="F128" s="49">
        <v>1</v>
      </c>
    </row>
    <row r="129" spans="2:6" ht="30.75" customHeight="1" x14ac:dyDescent="0.25">
      <c r="B129" s="251"/>
      <c r="C129" s="440" t="s">
        <v>356</v>
      </c>
      <c r="D129" s="441"/>
      <c r="E129" s="41" t="s">
        <v>51</v>
      </c>
      <c r="F129" s="39">
        <v>1</v>
      </c>
    </row>
    <row r="130" spans="2:6" ht="52.5" customHeight="1" x14ac:dyDescent="0.25">
      <c r="B130" s="252">
        <v>39</v>
      </c>
      <c r="C130" s="435" t="s">
        <v>865</v>
      </c>
      <c r="D130" s="436"/>
      <c r="E130" s="48" t="s">
        <v>208</v>
      </c>
      <c r="F130" s="48">
        <v>62</v>
      </c>
    </row>
    <row r="131" spans="2:6" ht="21.75" customHeight="1" x14ac:dyDescent="0.25">
      <c r="B131" s="251"/>
      <c r="C131" s="401" t="s">
        <v>357</v>
      </c>
      <c r="D131" s="412"/>
      <c r="E131" s="41" t="s">
        <v>208</v>
      </c>
      <c r="F131" s="41">
        <f>F130</f>
        <v>62</v>
      </c>
    </row>
    <row r="132" spans="2:6" ht="49.5" customHeight="1" x14ac:dyDescent="0.25">
      <c r="B132" s="253">
        <v>40</v>
      </c>
      <c r="C132" s="435" t="s">
        <v>866</v>
      </c>
      <c r="D132" s="436"/>
      <c r="E132" s="48" t="s">
        <v>208</v>
      </c>
      <c r="F132" s="48">
        <v>212</v>
      </c>
    </row>
    <row r="133" spans="2:6" ht="22.5" customHeight="1" x14ac:dyDescent="0.25">
      <c r="B133" s="254"/>
      <c r="C133" s="401" t="s">
        <v>358</v>
      </c>
      <c r="D133" s="412"/>
      <c r="E133" s="41" t="s">
        <v>208</v>
      </c>
      <c r="F133" s="41">
        <f>F132</f>
        <v>212</v>
      </c>
    </row>
    <row r="134" spans="2:6" ht="46.5" customHeight="1" x14ac:dyDescent="0.25">
      <c r="B134" s="253">
        <v>41</v>
      </c>
      <c r="C134" s="435" t="s">
        <v>867</v>
      </c>
      <c r="D134" s="436"/>
      <c r="E134" s="50" t="s">
        <v>208</v>
      </c>
      <c r="F134" s="50">
        <v>78</v>
      </c>
    </row>
    <row r="135" spans="2:6" ht="22.5" customHeight="1" x14ac:dyDescent="0.25">
      <c r="B135" s="255"/>
      <c r="C135" s="437" t="s">
        <v>359</v>
      </c>
      <c r="D135" s="438"/>
      <c r="E135" s="242" t="s">
        <v>208</v>
      </c>
      <c r="F135" s="44">
        <f>F134</f>
        <v>78</v>
      </c>
    </row>
    <row r="136" spans="2:6" ht="23.25" customHeight="1" x14ac:dyDescent="0.25">
      <c r="B136" s="239">
        <v>42</v>
      </c>
      <c r="C136" s="401" t="s">
        <v>360</v>
      </c>
      <c r="D136" s="402"/>
      <c r="E136" s="38" t="s">
        <v>305</v>
      </c>
      <c r="F136" s="38">
        <v>1</v>
      </c>
    </row>
  </sheetData>
  <mergeCells count="138"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B1:F1"/>
    <mergeCell ref="B3:B4"/>
    <mergeCell ref="C3:D4"/>
    <mergeCell ref="E3:E4"/>
    <mergeCell ref="F3:F4"/>
    <mergeCell ref="B2:F2"/>
    <mergeCell ref="C11:D11"/>
    <mergeCell ref="C12:D12"/>
    <mergeCell ref="C13:D13"/>
  </mergeCells>
  <pageMargins left="0.7" right="0.7" top="0.75" bottom="0.75" header="0.3" footer="0.3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F52"/>
  <sheetViews>
    <sheetView zoomScaleNormal="100" workbookViewId="0">
      <selection activeCell="I9" sqref="I9"/>
    </sheetView>
  </sheetViews>
  <sheetFormatPr defaultRowHeight="18.75" x14ac:dyDescent="0.3"/>
  <cols>
    <col min="1" max="1" width="3.140625" style="250" customWidth="1"/>
    <col min="2" max="2" width="6.140625" style="250" customWidth="1"/>
    <col min="3" max="3" width="10.28515625" style="250" customWidth="1"/>
    <col min="4" max="4" width="30.28515625" style="250" customWidth="1"/>
    <col min="5" max="5" width="9.28515625" style="250" customWidth="1"/>
    <col min="6" max="6" width="12.140625" style="14" customWidth="1"/>
    <col min="7" max="232" width="9.140625" style="261"/>
    <col min="233" max="233" width="3.140625" style="261" customWidth="1"/>
    <col min="234" max="234" width="6.140625" style="261" customWidth="1"/>
    <col min="235" max="235" width="10.28515625" style="261" customWidth="1"/>
    <col min="236" max="236" width="34.140625" style="261" customWidth="1"/>
    <col min="237" max="237" width="9.28515625" style="261" customWidth="1"/>
    <col min="238" max="239" width="12.140625" style="261" customWidth="1"/>
    <col min="240" max="250" width="9.85546875" style="261" customWidth="1"/>
    <col min="251" max="251" width="11.5703125" style="261" customWidth="1"/>
    <col min="252" max="252" width="12.7109375" style="261" customWidth="1"/>
    <col min="253" max="253" width="9.140625" style="261"/>
    <col min="254" max="254" width="11.42578125" style="261" customWidth="1"/>
    <col min="255" max="488" width="9.140625" style="261"/>
    <col min="489" max="489" width="3.140625" style="261" customWidth="1"/>
    <col min="490" max="490" width="6.140625" style="261" customWidth="1"/>
    <col min="491" max="491" width="10.28515625" style="261" customWidth="1"/>
    <col min="492" max="492" width="34.140625" style="261" customWidth="1"/>
    <col min="493" max="493" width="9.28515625" style="261" customWidth="1"/>
    <col min="494" max="495" width="12.140625" style="261" customWidth="1"/>
    <col min="496" max="506" width="9.85546875" style="261" customWidth="1"/>
    <col min="507" max="507" width="11.5703125" style="261" customWidth="1"/>
    <col min="508" max="508" width="12.7109375" style="261" customWidth="1"/>
    <col min="509" max="509" width="9.140625" style="261"/>
    <col min="510" max="510" width="11.42578125" style="261" customWidth="1"/>
    <col min="511" max="744" width="9.140625" style="261"/>
    <col min="745" max="745" width="3.140625" style="261" customWidth="1"/>
    <col min="746" max="746" width="6.140625" style="261" customWidth="1"/>
    <col min="747" max="747" width="10.28515625" style="261" customWidth="1"/>
    <col min="748" max="748" width="34.140625" style="261" customWidth="1"/>
    <col min="749" max="749" width="9.28515625" style="261" customWidth="1"/>
    <col min="750" max="751" width="12.140625" style="261" customWidth="1"/>
    <col min="752" max="762" width="9.85546875" style="261" customWidth="1"/>
    <col min="763" max="763" width="11.5703125" style="261" customWidth="1"/>
    <col min="764" max="764" width="12.7109375" style="261" customWidth="1"/>
    <col min="765" max="765" width="9.140625" style="261"/>
    <col min="766" max="766" width="11.42578125" style="261" customWidth="1"/>
    <col min="767" max="1000" width="9.140625" style="261"/>
    <col min="1001" max="1001" width="3.140625" style="261" customWidth="1"/>
    <col min="1002" max="1002" width="6.140625" style="261" customWidth="1"/>
    <col min="1003" max="1003" width="10.28515625" style="261" customWidth="1"/>
    <col min="1004" max="1004" width="34.140625" style="261" customWidth="1"/>
    <col min="1005" max="1005" width="9.28515625" style="261" customWidth="1"/>
    <col min="1006" max="1007" width="12.140625" style="261" customWidth="1"/>
    <col min="1008" max="1018" width="9.85546875" style="261" customWidth="1"/>
    <col min="1019" max="1019" width="11.5703125" style="261" customWidth="1"/>
    <col min="1020" max="1020" width="12.7109375" style="261" customWidth="1"/>
    <col min="1021" max="1021" width="9.140625" style="261"/>
    <col min="1022" max="1022" width="11.42578125" style="261" customWidth="1"/>
    <col min="1023" max="1256" width="9.140625" style="261"/>
    <col min="1257" max="1257" width="3.140625" style="261" customWidth="1"/>
    <col min="1258" max="1258" width="6.140625" style="261" customWidth="1"/>
    <col min="1259" max="1259" width="10.28515625" style="261" customWidth="1"/>
    <col min="1260" max="1260" width="34.140625" style="261" customWidth="1"/>
    <col min="1261" max="1261" width="9.28515625" style="261" customWidth="1"/>
    <col min="1262" max="1263" width="12.140625" style="261" customWidth="1"/>
    <col min="1264" max="1274" width="9.85546875" style="261" customWidth="1"/>
    <col min="1275" max="1275" width="11.5703125" style="261" customWidth="1"/>
    <col min="1276" max="1276" width="12.7109375" style="261" customWidth="1"/>
    <col min="1277" max="1277" width="9.140625" style="261"/>
    <col min="1278" max="1278" width="11.42578125" style="261" customWidth="1"/>
    <col min="1279" max="1512" width="9.140625" style="261"/>
    <col min="1513" max="1513" width="3.140625" style="261" customWidth="1"/>
    <col min="1514" max="1514" width="6.140625" style="261" customWidth="1"/>
    <col min="1515" max="1515" width="10.28515625" style="261" customWidth="1"/>
    <col min="1516" max="1516" width="34.140625" style="261" customWidth="1"/>
    <col min="1517" max="1517" width="9.28515625" style="261" customWidth="1"/>
    <col min="1518" max="1519" width="12.140625" style="261" customWidth="1"/>
    <col min="1520" max="1530" width="9.85546875" style="261" customWidth="1"/>
    <col min="1531" max="1531" width="11.5703125" style="261" customWidth="1"/>
    <col min="1532" max="1532" width="12.7109375" style="261" customWidth="1"/>
    <col min="1533" max="1533" width="9.140625" style="261"/>
    <col min="1534" max="1534" width="11.42578125" style="261" customWidth="1"/>
    <col min="1535" max="1768" width="9.140625" style="261"/>
    <col min="1769" max="1769" width="3.140625" style="261" customWidth="1"/>
    <col min="1770" max="1770" width="6.140625" style="261" customWidth="1"/>
    <col min="1771" max="1771" width="10.28515625" style="261" customWidth="1"/>
    <col min="1772" max="1772" width="34.140625" style="261" customWidth="1"/>
    <col min="1773" max="1773" width="9.28515625" style="261" customWidth="1"/>
    <col min="1774" max="1775" width="12.140625" style="261" customWidth="1"/>
    <col min="1776" max="1786" width="9.85546875" style="261" customWidth="1"/>
    <col min="1787" max="1787" width="11.5703125" style="261" customWidth="1"/>
    <col min="1788" max="1788" width="12.7109375" style="261" customWidth="1"/>
    <col min="1789" max="1789" width="9.140625" style="261"/>
    <col min="1790" max="1790" width="11.42578125" style="261" customWidth="1"/>
    <col min="1791" max="2024" width="9.140625" style="261"/>
    <col min="2025" max="2025" width="3.140625" style="261" customWidth="1"/>
    <col min="2026" max="2026" width="6.140625" style="261" customWidth="1"/>
    <col min="2027" max="2027" width="10.28515625" style="261" customWidth="1"/>
    <col min="2028" max="2028" width="34.140625" style="261" customWidth="1"/>
    <col min="2029" max="2029" width="9.28515625" style="261" customWidth="1"/>
    <col min="2030" max="2031" width="12.140625" style="261" customWidth="1"/>
    <col min="2032" max="2042" width="9.85546875" style="261" customWidth="1"/>
    <col min="2043" max="2043" width="11.5703125" style="261" customWidth="1"/>
    <col min="2044" max="2044" width="12.7109375" style="261" customWidth="1"/>
    <col min="2045" max="2045" width="9.140625" style="261"/>
    <col min="2046" max="2046" width="11.42578125" style="261" customWidth="1"/>
    <col min="2047" max="2280" width="9.140625" style="261"/>
    <col min="2281" max="2281" width="3.140625" style="261" customWidth="1"/>
    <col min="2282" max="2282" width="6.140625" style="261" customWidth="1"/>
    <col min="2283" max="2283" width="10.28515625" style="261" customWidth="1"/>
    <col min="2284" max="2284" width="34.140625" style="261" customWidth="1"/>
    <col min="2285" max="2285" width="9.28515625" style="261" customWidth="1"/>
    <col min="2286" max="2287" width="12.140625" style="261" customWidth="1"/>
    <col min="2288" max="2298" width="9.85546875" style="261" customWidth="1"/>
    <col min="2299" max="2299" width="11.5703125" style="261" customWidth="1"/>
    <col min="2300" max="2300" width="12.7109375" style="261" customWidth="1"/>
    <col min="2301" max="2301" width="9.140625" style="261"/>
    <col min="2302" max="2302" width="11.42578125" style="261" customWidth="1"/>
    <col min="2303" max="2536" width="9.140625" style="261"/>
    <col min="2537" max="2537" width="3.140625" style="261" customWidth="1"/>
    <col min="2538" max="2538" width="6.140625" style="261" customWidth="1"/>
    <col min="2539" max="2539" width="10.28515625" style="261" customWidth="1"/>
    <col min="2540" max="2540" width="34.140625" style="261" customWidth="1"/>
    <col min="2541" max="2541" width="9.28515625" style="261" customWidth="1"/>
    <col min="2542" max="2543" width="12.140625" style="261" customWidth="1"/>
    <col min="2544" max="2554" width="9.85546875" style="261" customWidth="1"/>
    <col min="2555" max="2555" width="11.5703125" style="261" customWidth="1"/>
    <col min="2556" max="2556" width="12.7109375" style="261" customWidth="1"/>
    <col min="2557" max="2557" width="9.140625" style="261"/>
    <col min="2558" max="2558" width="11.42578125" style="261" customWidth="1"/>
    <col min="2559" max="2792" width="9.140625" style="261"/>
    <col min="2793" max="2793" width="3.140625" style="261" customWidth="1"/>
    <col min="2794" max="2794" width="6.140625" style="261" customWidth="1"/>
    <col min="2795" max="2795" width="10.28515625" style="261" customWidth="1"/>
    <col min="2796" max="2796" width="34.140625" style="261" customWidth="1"/>
    <col min="2797" max="2797" width="9.28515625" style="261" customWidth="1"/>
    <col min="2798" max="2799" width="12.140625" style="261" customWidth="1"/>
    <col min="2800" max="2810" width="9.85546875" style="261" customWidth="1"/>
    <col min="2811" max="2811" width="11.5703125" style="261" customWidth="1"/>
    <col min="2812" max="2812" width="12.7109375" style="261" customWidth="1"/>
    <col min="2813" max="2813" width="9.140625" style="261"/>
    <col min="2814" max="2814" width="11.42578125" style="261" customWidth="1"/>
    <col min="2815" max="3048" width="9.140625" style="261"/>
    <col min="3049" max="3049" width="3.140625" style="261" customWidth="1"/>
    <col min="3050" max="3050" width="6.140625" style="261" customWidth="1"/>
    <col min="3051" max="3051" width="10.28515625" style="261" customWidth="1"/>
    <col min="3052" max="3052" width="34.140625" style="261" customWidth="1"/>
    <col min="3053" max="3053" width="9.28515625" style="261" customWidth="1"/>
    <col min="3054" max="3055" width="12.140625" style="261" customWidth="1"/>
    <col min="3056" max="3066" width="9.85546875" style="261" customWidth="1"/>
    <col min="3067" max="3067" width="11.5703125" style="261" customWidth="1"/>
    <col min="3068" max="3068" width="12.7109375" style="261" customWidth="1"/>
    <col min="3069" max="3069" width="9.140625" style="261"/>
    <col min="3070" max="3070" width="11.42578125" style="261" customWidth="1"/>
    <col min="3071" max="3304" width="9.140625" style="261"/>
    <col min="3305" max="3305" width="3.140625" style="261" customWidth="1"/>
    <col min="3306" max="3306" width="6.140625" style="261" customWidth="1"/>
    <col min="3307" max="3307" width="10.28515625" style="261" customWidth="1"/>
    <col min="3308" max="3308" width="34.140625" style="261" customWidth="1"/>
    <col min="3309" max="3309" width="9.28515625" style="261" customWidth="1"/>
    <col min="3310" max="3311" width="12.140625" style="261" customWidth="1"/>
    <col min="3312" max="3322" width="9.85546875" style="261" customWidth="1"/>
    <col min="3323" max="3323" width="11.5703125" style="261" customWidth="1"/>
    <col min="3324" max="3324" width="12.7109375" style="261" customWidth="1"/>
    <col min="3325" max="3325" width="9.140625" style="261"/>
    <col min="3326" max="3326" width="11.42578125" style="261" customWidth="1"/>
    <col min="3327" max="3560" width="9.140625" style="261"/>
    <col min="3561" max="3561" width="3.140625" style="261" customWidth="1"/>
    <col min="3562" max="3562" width="6.140625" style="261" customWidth="1"/>
    <col min="3563" max="3563" width="10.28515625" style="261" customWidth="1"/>
    <col min="3564" max="3564" width="34.140625" style="261" customWidth="1"/>
    <col min="3565" max="3565" width="9.28515625" style="261" customWidth="1"/>
    <col min="3566" max="3567" width="12.140625" style="261" customWidth="1"/>
    <col min="3568" max="3578" width="9.85546875" style="261" customWidth="1"/>
    <col min="3579" max="3579" width="11.5703125" style="261" customWidth="1"/>
    <col min="3580" max="3580" width="12.7109375" style="261" customWidth="1"/>
    <col min="3581" max="3581" width="9.140625" style="261"/>
    <col min="3582" max="3582" width="11.42578125" style="261" customWidth="1"/>
    <col min="3583" max="3816" width="9.140625" style="261"/>
    <col min="3817" max="3817" width="3.140625" style="261" customWidth="1"/>
    <col min="3818" max="3818" width="6.140625" style="261" customWidth="1"/>
    <col min="3819" max="3819" width="10.28515625" style="261" customWidth="1"/>
    <col min="3820" max="3820" width="34.140625" style="261" customWidth="1"/>
    <col min="3821" max="3821" width="9.28515625" style="261" customWidth="1"/>
    <col min="3822" max="3823" width="12.140625" style="261" customWidth="1"/>
    <col min="3824" max="3834" width="9.85546875" style="261" customWidth="1"/>
    <col min="3835" max="3835" width="11.5703125" style="261" customWidth="1"/>
    <col min="3836" max="3836" width="12.7109375" style="261" customWidth="1"/>
    <col min="3837" max="3837" width="9.140625" style="261"/>
    <col min="3838" max="3838" width="11.42578125" style="261" customWidth="1"/>
    <col min="3839" max="4072" width="9.140625" style="261"/>
    <col min="4073" max="4073" width="3.140625" style="261" customWidth="1"/>
    <col min="4074" max="4074" width="6.140625" style="261" customWidth="1"/>
    <col min="4075" max="4075" width="10.28515625" style="261" customWidth="1"/>
    <col min="4076" max="4076" width="34.140625" style="261" customWidth="1"/>
    <col min="4077" max="4077" width="9.28515625" style="261" customWidth="1"/>
    <col min="4078" max="4079" width="12.140625" style="261" customWidth="1"/>
    <col min="4080" max="4090" width="9.85546875" style="261" customWidth="1"/>
    <col min="4091" max="4091" width="11.5703125" style="261" customWidth="1"/>
    <col min="4092" max="4092" width="12.7109375" style="261" customWidth="1"/>
    <col min="4093" max="4093" width="9.140625" style="261"/>
    <col min="4094" max="4094" width="11.42578125" style="261" customWidth="1"/>
    <col min="4095" max="4328" width="9.140625" style="261"/>
    <col min="4329" max="4329" width="3.140625" style="261" customWidth="1"/>
    <col min="4330" max="4330" width="6.140625" style="261" customWidth="1"/>
    <col min="4331" max="4331" width="10.28515625" style="261" customWidth="1"/>
    <col min="4332" max="4332" width="34.140625" style="261" customWidth="1"/>
    <col min="4333" max="4333" width="9.28515625" style="261" customWidth="1"/>
    <col min="4334" max="4335" width="12.140625" style="261" customWidth="1"/>
    <col min="4336" max="4346" width="9.85546875" style="261" customWidth="1"/>
    <col min="4347" max="4347" width="11.5703125" style="261" customWidth="1"/>
    <col min="4348" max="4348" width="12.7109375" style="261" customWidth="1"/>
    <col min="4349" max="4349" width="9.140625" style="261"/>
    <col min="4350" max="4350" width="11.42578125" style="261" customWidth="1"/>
    <col min="4351" max="4584" width="9.140625" style="261"/>
    <col min="4585" max="4585" width="3.140625" style="261" customWidth="1"/>
    <col min="4586" max="4586" width="6.140625" style="261" customWidth="1"/>
    <col min="4587" max="4587" width="10.28515625" style="261" customWidth="1"/>
    <col min="4588" max="4588" width="34.140625" style="261" customWidth="1"/>
    <col min="4589" max="4589" width="9.28515625" style="261" customWidth="1"/>
    <col min="4590" max="4591" width="12.140625" style="261" customWidth="1"/>
    <col min="4592" max="4602" width="9.85546875" style="261" customWidth="1"/>
    <col min="4603" max="4603" width="11.5703125" style="261" customWidth="1"/>
    <col min="4604" max="4604" width="12.7109375" style="261" customWidth="1"/>
    <col min="4605" max="4605" width="9.140625" style="261"/>
    <col min="4606" max="4606" width="11.42578125" style="261" customWidth="1"/>
    <col min="4607" max="4840" width="9.140625" style="261"/>
    <col min="4841" max="4841" width="3.140625" style="261" customWidth="1"/>
    <col min="4842" max="4842" width="6.140625" style="261" customWidth="1"/>
    <col min="4843" max="4843" width="10.28515625" style="261" customWidth="1"/>
    <col min="4844" max="4844" width="34.140625" style="261" customWidth="1"/>
    <col min="4845" max="4845" width="9.28515625" style="261" customWidth="1"/>
    <col min="4846" max="4847" width="12.140625" style="261" customWidth="1"/>
    <col min="4848" max="4858" width="9.85546875" style="261" customWidth="1"/>
    <col min="4859" max="4859" width="11.5703125" style="261" customWidth="1"/>
    <col min="4860" max="4860" width="12.7109375" style="261" customWidth="1"/>
    <col min="4861" max="4861" width="9.140625" style="261"/>
    <col min="4862" max="4862" width="11.42578125" style="261" customWidth="1"/>
    <col min="4863" max="5096" width="9.140625" style="261"/>
    <col min="5097" max="5097" width="3.140625" style="261" customWidth="1"/>
    <col min="5098" max="5098" width="6.140625" style="261" customWidth="1"/>
    <col min="5099" max="5099" width="10.28515625" style="261" customWidth="1"/>
    <col min="5100" max="5100" width="34.140625" style="261" customWidth="1"/>
    <col min="5101" max="5101" width="9.28515625" style="261" customWidth="1"/>
    <col min="5102" max="5103" width="12.140625" style="261" customWidth="1"/>
    <col min="5104" max="5114" width="9.85546875" style="261" customWidth="1"/>
    <col min="5115" max="5115" width="11.5703125" style="261" customWidth="1"/>
    <col min="5116" max="5116" width="12.7109375" style="261" customWidth="1"/>
    <col min="5117" max="5117" width="9.140625" style="261"/>
    <col min="5118" max="5118" width="11.42578125" style="261" customWidth="1"/>
    <col min="5119" max="5352" width="9.140625" style="261"/>
    <col min="5353" max="5353" width="3.140625" style="261" customWidth="1"/>
    <col min="5354" max="5354" width="6.140625" style="261" customWidth="1"/>
    <col min="5355" max="5355" width="10.28515625" style="261" customWidth="1"/>
    <col min="5356" max="5356" width="34.140625" style="261" customWidth="1"/>
    <col min="5357" max="5357" width="9.28515625" style="261" customWidth="1"/>
    <col min="5358" max="5359" width="12.140625" style="261" customWidth="1"/>
    <col min="5360" max="5370" width="9.85546875" style="261" customWidth="1"/>
    <col min="5371" max="5371" width="11.5703125" style="261" customWidth="1"/>
    <col min="5372" max="5372" width="12.7109375" style="261" customWidth="1"/>
    <col min="5373" max="5373" width="9.140625" style="261"/>
    <col min="5374" max="5374" width="11.42578125" style="261" customWidth="1"/>
    <col min="5375" max="5608" width="9.140625" style="261"/>
    <col min="5609" max="5609" width="3.140625" style="261" customWidth="1"/>
    <col min="5610" max="5610" width="6.140625" style="261" customWidth="1"/>
    <col min="5611" max="5611" width="10.28515625" style="261" customWidth="1"/>
    <col min="5612" max="5612" width="34.140625" style="261" customWidth="1"/>
    <col min="5613" max="5613" width="9.28515625" style="261" customWidth="1"/>
    <col min="5614" max="5615" width="12.140625" style="261" customWidth="1"/>
    <col min="5616" max="5626" width="9.85546875" style="261" customWidth="1"/>
    <col min="5627" max="5627" width="11.5703125" style="261" customWidth="1"/>
    <col min="5628" max="5628" width="12.7109375" style="261" customWidth="1"/>
    <col min="5629" max="5629" width="9.140625" style="261"/>
    <col min="5630" max="5630" width="11.42578125" style="261" customWidth="1"/>
    <col min="5631" max="5864" width="9.140625" style="261"/>
    <col min="5865" max="5865" width="3.140625" style="261" customWidth="1"/>
    <col min="5866" max="5866" width="6.140625" style="261" customWidth="1"/>
    <col min="5867" max="5867" width="10.28515625" style="261" customWidth="1"/>
    <col min="5868" max="5868" width="34.140625" style="261" customWidth="1"/>
    <col min="5869" max="5869" width="9.28515625" style="261" customWidth="1"/>
    <col min="5870" max="5871" width="12.140625" style="261" customWidth="1"/>
    <col min="5872" max="5882" width="9.85546875" style="261" customWidth="1"/>
    <col min="5883" max="5883" width="11.5703125" style="261" customWidth="1"/>
    <col min="5884" max="5884" width="12.7109375" style="261" customWidth="1"/>
    <col min="5885" max="5885" width="9.140625" style="261"/>
    <col min="5886" max="5886" width="11.42578125" style="261" customWidth="1"/>
    <col min="5887" max="6120" width="9.140625" style="261"/>
    <col min="6121" max="6121" width="3.140625" style="261" customWidth="1"/>
    <col min="6122" max="6122" width="6.140625" style="261" customWidth="1"/>
    <col min="6123" max="6123" width="10.28515625" style="261" customWidth="1"/>
    <col min="6124" max="6124" width="34.140625" style="261" customWidth="1"/>
    <col min="6125" max="6125" width="9.28515625" style="261" customWidth="1"/>
    <col min="6126" max="6127" width="12.140625" style="261" customWidth="1"/>
    <col min="6128" max="6138" width="9.85546875" style="261" customWidth="1"/>
    <col min="6139" max="6139" width="11.5703125" style="261" customWidth="1"/>
    <col min="6140" max="6140" width="12.7109375" style="261" customWidth="1"/>
    <col min="6141" max="6141" width="9.140625" style="261"/>
    <col min="6142" max="6142" width="11.42578125" style="261" customWidth="1"/>
    <col min="6143" max="6376" width="9.140625" style="261"/>
    <col min="6377" max="6377" width="3.140625" style="261" customWidth="1"/>
    <col min="6378" max="6378" width="6.140625" style="261" customWidth="1"/>
    <col min="6379" max="6379" width="10.28515625" style="261" customWidth="1"/>
    <col min="6380" max="6380" width="34.140625" style="261" customWidth="1"/>
    <col min="6381" max="6381" width="9.28515625" style="261" customWidth="1"/>
    <col min="6382" max="6383" width="12.140625" style="261" customWidth="1"/>
    <col min="6384" max="6394" width="9.85546875" style="261" customWidth="1"/>
    <col min="6395" max="6395" width="11.5703125" style="261" customWidth="1"/>
    <col min="6396" max="6396" width="12.7109375" style="261" customWidth="1"/>
    <col min="6397" max="6397" width="9.140625" style="261"/>
    <col min="6398" max="6398" width="11.42578125" style="261" customWidth="1"/>
    <col min="6399" max="6632" width="9.140625" style="261"/>
    <col min="6633" max="6633" width="3.140625" style="261" customWidth="1"/>
    <col min="6634" max="6634" width="6.140625" style="261" customWidth="1"/>
    <col min="6635" max="6635" width="10.28515625" style="261" customWidth="1"/>
    <col min="6636" max="6636" width="34.140625" style="261" customWidth="1"/>
    <col min="6637" max="6637" width="9.28515625" style="261" customWidth="1"/>
    <col min="6638" max="6639" width="12.140625" style="261" customWidth="1"/>
    <col min="6640" max="6650" width="9.85546875" style="261" customWidth="1"/>
    <col min="6651" max="6651" width="11.5703125" style="261" customWidth="1"/>
    <col min="6652" max="6652" width="12.7109375" style="261" customWidth="1"/>
    <col min="6653" max="6653" width="9.140625" style="261"/>
    <col min="6654" max="6654" width="11.42578125" style="261" customWidth="1"/>
    <col min="6655" max="6888" width="9.140625" style="261"/>
    <col min="6889" max="6889" width="3.140625" style="261" customWidth="1"/>
    <col min="6890" max="6890" width="6.140625" style="261" customWidth="1"/>
    <col min="6891" max="6891" width="10.28515625" style="261" customWidth="1"/>
    <col min="6892" max="6892" width="34.140625" style="261" customWidth="1"/>
    <col min="6893" max="6893" width="9.28515625" style="261" customWidth="1"/>
    <col min="6894" max="6895" width="12.140625" style="261" customWidth="1"/>
    <col min="6896" max="6906" width="9.85546875" style="261" customWidth="1"/>
    <col min="6907" max="6907" width="11.5703125" style="261" customWidth="1"/>
    <col min="6908" max="6908" width="12.7109375" style="261" customWidth="1"/>
    <col min="6909" max="6909" width="9.140625" style="261"/>
    <col min="6910" max="6910" width="11.42578125" style="261" customWidth="1"/>
    <col min="6911" max="7144" width="9.140625" style="261"/>
    <col min="7145" max="7145" width="3.140625" style="261" customWidth="1"/>
    <col min="7146" max="7146" width="6.140625" style="261" customWidth="1"/>
    <col min="7147" max="7147" width="10.28515625" style="261" customWidth="1"/>
    <col min="7148" max="7148" width="34.140625" style="261" customWidth="1"/>
    <col min="7149" max="7149" width="9.28515625" style="261" customWidth="1"/>
    <col min="7150" max="7151" width="12.140625" style="261" customWidth="1"/>
    <col min="7152" max="7162" width="9.85546875" style="261" customWidth="1"/>
    <col min="7163" max="7163" width="11.5703125" style="261" customWidth="1"/>
    <col min="7164" max="7164" width="12.7109375" style="261" customWidth="1"/>
    <col min="7165" max="7165" width="9.140625" style="261"/>
    <col min="7166" max="7166" width="11.42578125" style="261" customWidth="1"/>
    <col min="7167" max="7400" width="9.140625" style="261"/>
    <col min="7401" max="7401" width="3.140625" style="261" customWidth="1"/>
    <col min="7402" max="7402" width="6.140625" style="261" customWidth="1"/>
    <col min="7403" max="7403" width="10.28515625" style="261" customWidth="1"/>
    <col min="7404" max="7404" width="34.140625" style="261" customWidth="1"/>
    <col min="7405" max="7405" width="9.28515625" style="261" customWidth="1"/>
    <col min="7406" max="7407" width="12.140625" style="261" customWidth="1"/>
    <col min="7408" max="7418" width="9.85546875" style="261" customWidth="1"/>
    <col min="7419" max="7419" width="11.5703125" style="261" customWidth="1"/>
    <col min="7420" max="7420" width="12.7109375" style="261" customWidth="1"/>
    <col min="7421" max="7421" width="9.140625" style="261"/>
    <col min="7422" max="7422" width="11.42578125" style="261" customWidth="1"/>
    <col min="7423" max="7656" width="9.140625" style="261"/>
    <col min="7657" max="7657" width="3.140625" style="261" customWidth="1"/>
    <col min="7658" max="7658" width="6.140625" style="261" customWidth="1"/>
    <col min="7659" max="7659" width="10.28515625" style="261" customWidth="1"/>
    <col min="7660" max="7660" width="34.140625" style="261" customWidth="1"/>
    <col min="7661" max="7661" width="9.28515625" style="261" customWidth="1"/>
    <col min="7662" max="7663" width="12.140625" style="261" customWidth="1"/>
    <col min="7664" max="7674" width="9.85546875" style="261" customWidth="1"/>
    <col min="7675" max="7675" width="11.5703125" style="261" customWidth="1"/>
    <col min="7676" max="7676" width="12.7109375" style="261" customWidth="1"/>
    <col min="7677" max="7677" width="9.140625" style="261"/>
    <col min="7678" max="7678" width="11.42578125" style="261" customWidth="1"/>
    <col min="7679" max="7912" width="9.140625" style="261"/>
    <col min="7913" max="7913" width="3.140625" style="261" customWidth="1"/>
    <col min="7914" max="7914" width="6.140625" style="261" customWidth="1"/>
    <col min="7915" max="7915" width="10.28515625" style="261" customWidth="1"/>
    <col min="7916" max="7916" width="34.140625" style="261" customWidth="1"/>
    <col min="7917" max="7917" width="9.28515625" style="261" customWidth="1"/>
    <col min="7918" max="7919" width="12.140625" style="261" customWidth="1"/>
    <col min="7920" max="7930" width="9.85546875" style="261" customWidth="1"/>
    <col min="7931" max="7931" width="11.5703125" style="261" customWidth="1"/>
    <col min="7932" max="7932" width="12.7109375" style="261" customWidth="1"/>
    <col min="7933" max="7933" width="9.140625" style="261"/>
    <col min="7934" max="7934" width="11.42578125" style="261" customWidth="1"/>
    <col min="7935" max="8168" width="9.140625" style="261"/>
    <col min="8169" max="8169" width="3.140625" style="261" customWidth="1"/>
    <col min="8170" max="8170" width="6.140625" style="261" customWidth="1"/>
    <col min="8171" max="8171" width="10.28515625" style="261" customWidth="1"/>
    <col min="8172" max="8172" width="34.140625" style="261" customWidth="1"/>
    <col min="8173" max="8173" width="9.28515625" style="261" customWidth="1"/>
    <col min="8174" max="8175" width="12.140625" style="261" customWidth="1"/>
    <col min="8176" max="8186" width="9.85546875" style="261" customWidth="1"/>
    <col min="8187" max="8187" width="11.5703125" style="261" customWidth="1"/>
    <col min="8188" max="8188" width="12.7109375" style="261" customWidth="1"/>
    <col min="8189" max="8189" width="9.140625" style="261"/>
    <col min="8190" max="8190" width="11.42578125" style="261" customWidth="1"/>
    <col min="8191" max="8424" width="9.140625" style="261"/>
    <col min="8425" max="8425" width="3.140625" style="261" customWidth="1"/>
    <col min="8426" max="8426" width="6.140625" style="261" customWidth="1"/>
    <col min="8427" max="8427" width="10.28515625" style="261" customWidth="1"/>
    <col min="8428" max="8428" width="34.140625" style="261" customWidth="1"/>
    <col min="8429" max="8429" width="9.28515625" style="261" customWidth="1"/>
    <col min="8430" max="8431" width="12.140625" style="261" customWidth="1"/>
    <col min="8432" max="8442" width="9.85546875" style="261" customWidth="1"/>
    <col min="8443" max="8443" width="11.5703125" style="261" customWidth="1"/>
    <col min="8444" max="8444" width="12.7109375" style="261" customWidth="1"/>
    <col min="8445" max="8445" width="9.140625" style="261"/>
    <col min="8446" max="8446" width="11.42578125" style="261" customWidth="1"/>
    <col min="8447" max="8680" width="9.140625" style="261"/>
    <col min="8681" max="8681" width="3.140625" style="261" customWidth="1"/>
    <col min="8682" max="8682" width="6.140625" style="261" customWidth="1"/>
    <col min="8683" max="8683" width="10.28515625" style="261" customWidth="1"/>
    <col min="8684" max="8684" width="34.140625" style="261" customWidth="1"/>
    <col min="8685" max="8685" width="9.28515625" style="261" customWidth="1"/>
    <col min="8686" max="8687" width="12.140625" style="261" customWidth="1"/>
    <col min="8688" max="8698" width="9.85546875" style="261" customWidth="1"/>
    <col min="8699" max="8699" width="11.5703125" style="261" customWidth="1"/>
    <col min="8700" max="8700" width="12.7109375" style="261" customWidth="1"/>
    <col min="8701" max="8701" width="9.140625" style="261"/>
    <col min="8702" max="8702" width="11.42578125" style="261" customWidth="1"/>
    <col min="8703" max="8936" width="9.140625" style="261"/>
    <col min="8937" max="8937" width="3.140625" style="261" customWidth="1"/>
    <col min="8938" max="8938" width="6.140625" style="261" customWidth="1"/>
    <col min="8939" max="8939" width="10.28515625" style="261" customWidth="1"/>
    <col min="8940" max="8940" width="34.140625" style="261" customWidth="1"/>
    <col min="8941" max="8941" width="9.28515625" style="261" customWidth="1"/>
    <col min="8942" max="8943" width="12.140625" style="261" customWidth="1"/>
    <col min="8944" max="8954" width="9.85546875" style="261" customWidth="1"/>
    <col min="8955" max="8955" width="11.5703125" style="261" customWidth="1"/>
    <col min="8956" max="8956" width="12.7109375" style="261" customWidth="1"/>
    <col min="8957" max="8957" width="9.140625" style="261"/>
    <col min="8958" max="8958" width="11.42578125" style="261" customWidth="1"/>
    <col min="8959" max="9192" width="9.140625" style="261"/>
    <col min="9193" max="9193" width="3.140625" style="261" customWidth="1"/>
    <col min="9194" max="9194" width="6.140625" style="261" customWidth="1"/>
    <col min="9195" max="9195" width="10.28515625" style="261" customWidth="1"/>
    <col min="9196" max="9196" width="34.140625" style="261" customWidth="1"/>
    <col min="9197" max="9197" width="9.28515625" style="261" customWidth="1"/>
    <col min="9198" max="9199" width="12.140625" style="261" customWidth="1"/>
    <col min="9200" max="9210" width="9.85546875" style="261" customWidth="1"/>
    <col min="9211" max="9211" width="11.5703125" style="261" customWidth="1"/>
    <col min="9212" max="9212" width="12.7109375" style="261" customWidth="1"/>
    <col min="9213" max="9213" width="9.140625" style="261"/>
    <col min="9214" max="9214" width="11.42578125" style="261" customWidth="1"/>
    <col min="9215" max="9448" width="9.140625" style="261"/>
    <col min="9449" max="9449" width="3.140625" style="261" customWidth="1"/>
    <col min="9450" max="9450" width="6.140625" style="261" customWidth="1"/>
    <col min="9451" max="9451" width="10.28515625" style="261" customWidth="1"/>
    <col min="9452" max="9452" width="34.140625" style="261" customWidth="1"/>
    <col min="9453" max="9453" width="9.28515625" style="261" customWidth="1"/>
    <col min="9454" max="9455" width="12.140625" style="261" customWidth="1"/>
    <col min="9456" max="9466" width="9.85546875" style="261" customWidth="1"/>
    <col min="9467" max="9467" width="11.5703125" style="261" customWidth="1"/>
    <col min="9468" max="9468" width="12.7109375" style="261" customWidth="1"/>
    <col min="9469" max="9469" width="9.140625" style="261"/>
    <col min="9470" max="9470" width="11.42578125" style="261" customWidth="1"/>
    <col min="9471" max="9704" width="9.140625" style="261"/>
    <col min="9705" max="9705" width="3.140625" style="261" customWidth="1"/>
    <col min="9706" max="9706" width="6.140625" style="261" customWidth="1"/>
    <col min="9707" max="9707" width="10.28515625" style="261" customWidth="1"/>
    <col min="9708" max="9708" width="34.140625" style="261" customWidth="1"/>
    <col min="9709" max="9709" width="9.28515625" style="261" customWidth="1"/>
    <col min="9710" max="9711" width="12.140625" style="261" customWidth="1"/>
    <col min="9712" max="9722" width="9.85546875" style="261" customWidth="1"/>
    <col min="9723" max="9723" width="11.5703125" style="261" customWidth="1"/>
    <col min="9724" max="9724" width="12.7109375" style="261" customWidth="1"/>
    <col min="9725" max="9725" width="9.140625" style="261"/>
    <col min="9726" max="9726" width="11.42578125" style="261" customWidth="1"/>
    <col min="9727" max="9960" width="9.140625" style="261"/>
    <col min="9961" max="9961" width="3.140625" style="261" customWidth="1"/>
    <col min="9962" max="9962" width="6.140625" style="261" customWidth="1"/>
    <col min="9963" max="9963" width="10.28515625" style="261" customWidth="1"/>
    <col min="9964" max="9964" width="34.140625" style="261" customWidth="1"/>
    <col min="9965" max="9965" width="9.28515625" style="261" customWidth="1"/>
    <col min="9966" max="9967" width="12.140625" style="261" customWidth="1"/>
    <col min="9968" max="9978" width="9.85546875" style="261" customWidth="1"/>
    <col min="9979" max="9979" width="11.5703125" style="261" customWidth="1"/>
    <col min="9980" max="9980" width="12.7109375" style="261" customWidth="1"/>
    <col min="9981" max="9981" width="9.140625" style="261"/>
    <col min="9982" max="9982" width="11.42578125" style="261" customWidth="1"/>
    <col min="9983" max="10216" width="9.140625" style="261"/>
    <col min="10217" max="10217" width="3.140625" style="261" customWidth="1"/>
    <col min="10218" max="10218" width="6.140625" style="261" customWidth="1"/>
    <col min="10219" max="10219" width="10.28515625" style="261" customWidth="1"/>
    <col min="10220" max="10220" width="34.140625" style="261" customWidth="1"/>
    <col min="10221" max="10221" width="9.28515625" style="261" customWidth="1"/>
    <col min="10222" max="10223" width="12.140625" style="261" customWidth="1"/>
    <col min="10224" max="10234" width="9.85546875" style="261" customWidth="1"/>
    <col min="10235" max="10235" width="11.5703125" style="261" customWidth="1"/>
    <col min="10236" max="10236" width="12.7109375" style="261" customWidth="1"/>
    <col min="10237" max="10237" width="9.140625" style="261"/>
    <col min="10238" max="10238" width="11.42578125" style="261" customWidth="1"/>
    <col min="10239" max="10472" width="9.140625" style="261"/>
    <col min="10473" max="10473" width="3.140625" style="261" customWidth="1"/>
    <col min="10474" max="10474" width="6.140625" style="261" customWidth="1"/>
    <col min="10475" max="10475" width="10.28515625" style="261" customWidth="1"/>
    <col min="10476" max="10476" width="34.140625" style="261" customWidth="1"/>
    <col min="10477" max="10477" width="9.28515625" style="261" customWidth="1"/>
    <col min="10478" max="10479" width="12.140625" style="261" customWidth="1"/>
    <col min="10480" max="10490" width="9.85546875" style="261" customWidth="1"/>
    <col min="10491" max="10491" width="11.5703125" style="261" customWidth="1"/>
    <col min="10492" max="10492" width="12.7109375" style="261" customWidth="1"/>
    <col min="10493" max="10493" width="9.140625" style="261"/>
    <col min="10494" max="10494" width="11.42578125" style="261" customWidth="1"/>
    <col min="10495" max="10728" width="9.140625" style="261"/>
    <col min="10729" max="10729" width="3.140625" style="261" customWidth="1"/>
    <col min="10730" max="10730" width="6.140625" style="261" customWidth="1"/>
    <col min="10731" max="10731" width="10.28515625" style="261" customWidth="1"/>
    <col min="10732" max="10732" width="34.140625" style="261" customWidth="1"/>
    <col min="10733" max="10733" width="9.28515625" style="261" customWidth="1"/>
    <col min="10734" max="10735" width="12.140625" style="261" customWidth="1"/>
    <col min="10736" max="10746" width="9.85546875" style="261" customWidth="1"/>
    <col min="10747" max="10747" width="11.5703125" style="261" customWidth="1"/>
    <col min="10748" max="10748" width="12.7109375" style="261" customWidth="1"/>
    <col min="10749" max="10749" width="9.140625" style="261"/>
    <col min="10750" max="10750" width="11.42578125" style="261" customWidth="1"/>
    <col min="10751" max="10984" width="9.140625" style="261"/>
    <col min="10985" max="10985" width="3.140625" style="261" customWidth="1"/>
    <col min="10986" max="10986" width="6.140625" style="261" customWidth="1"/>
    <col min="10987" max="10987" width="10.28515625" style="261" customWidth="1"/>
    <col min="10988" max="10988" width="34.140625" style="261" customWidth="1"/>
    <col min="10989" max="10989" width="9.28515625" style="261" customWidth="1"/>
    <col min="10990" max="10991" width="12.140625" style="261" customWidth="1"/>
    <col min="10992" max="11002" width="9.85546875" style="261" customWidth="1"/>
    <col min="11003" max="11003" width="11.5703125" style="261" customWidth="1"/>
    <col min="11004" max="11004" width="12.7109375" style="261" customWidth="1"/>
    <col min="11005" max="11005" width="9.140625" style="261"/>
    <col min="11006" max="11006" width="11.42578125" style="261" customWidth="1"/>
    <col min="11007" max="11240" width="9.140625" style="261"/>
    <col min="11241" max="11241" width="3.140625" style="261" customWidth="1"/>
    <col min="11242" max="11242" width="6.140625" style="261" customWidth="1"/>
    <col min="11243" max="11243" width="10.28515625" style="261" customWidth="1"/>
    <col min="11244" max="11244" width="34.140625" style="261" customWidth="1"/>
    <col min="11245" max="11245" width="9.28515625" style="261" customWidth="1"/>
    <col min="11246" max="11247" width="12.140625" style="261" customWidth="1"/>
    <col min="11248" max="11258" width="9.85546875" style="261" customWidth="1"/>
    <col min="11259" max="11259" width="11.5703125" style="261" customWidth="1"/>
    <col min="11260" max="11260" width="12.7109375" style="261" customWidth="1"/>
    <col min="11261" max="11261" width="9.140625" style="261"/>
    <col min="11262" max="11262" width="11.42578125" style="261" customWidth="1"/>
    <col min="11263" max="11496" width="9.140625" style="261"/>
    <col min="11497" max="11497" width="3.140625" style="261" customWidth="1"/>
    <col min="11498" max="11498" width="6.140625" style="261" customWidth="1"/>
    <col min="11499" max="11499" width="10.28515625" style="261" customWidth="1"/>
    <col min="11500" max="11500" width="34.140625" style="261" customWidth="1"/>
    <col min="11501" max="11501" width="9.28515625" style="261" customWidth="1"/>
    <col min="11502" max="11503" width="12.140625" style="261" customWidth="1"/>
    <col min="11504" max="11514" width="9.85546875" style="261" customWidth="1"/>
    <col min="11515" max="11515" width="11.5703125" style="261" customWidth="1"/>
    <col min="11516" max="11516" width="12.7109375" style="261" customWidth="1"/>
    <col min="11517" max="11517" width="9.140625" style="261"/>
    <col min="11518" max="11518" width="11.42578125" style="261" customWidth="1"/>
    <col min="11519" max="11752" width="9.140625" style="261"/>
    <col min="11753" max="11753" width="3.140625" style="261" customWidth="1"/>
    <col min="11754" max="11754" width="6.140625" style="261" customWidth="1"/>
    <col min="11755" max="11755" width="10.28515625" style="261" customWidth="1"/>
    <col min="11756" max="11756" width="34.140625" style="261" customWidth="1"/>
    <col min="11757" max="11757" width="9.28515625" style="261" customWidth="1"/>
    <col min="11758" max="11759" width="12.140625" style="261" customWidth="1"/>
    <col min="11760" max="11770" width="9.85546875" style="261" customWidth="1"/>
    <col min="11771" max="11771" width="11.5703125" style="261" customWidth="1"/>
    <col min="11772" max="11772" width="12.7109375" style="261" customWidth="1"/>
    <col min="11773" max="11773" width="9.140625" style="261"/>
    <col min="11774" max="11774" width="11.42578125" style="261" customWidth="1"/>
    <col min="11775" max="12008" width="9.140625" style="261"/>
    <col min="12009" max="12009" width="3.140625" style="261" customWidth="1"/>
    <col min="12010" max="12010" width="6.140625" style="261" customWidth="1"/>
    <col min="12011" max="12011" width="10.28515625" style="261" customWidth="1"/>
    <col min="12012" max="12012" width="34.140625" style="261" customWidth="1"/>
    <col min="12013" max="12013" width="9.28515625" style="261" customWidth="1"/>
    <col min="12014" max="12015" width="12.140625" style="261" customWidth="1"/>
    <col min="12016" max="12026" width="9.85546875" style="261" customWidth="1"/>
    <col min="12027" max="12027" width="11.5703125" style="261" customWidth="1"/>
    <col min="12028" max="12028" width="12.7109375" style="261" customWidth="1"/>
    <col min="12029" max="12029" width="9.140625" style="261"/>
    <col min="12030" max="12030" width="11.42578125" style="261" customWidth="1"/>
    <col min="12031" max="12264" width="9.140625" style="261"/>
    <col min="12265" max="12265" width="3.140625" style="261" customWidth="1"/>
    <col min="12266" max="12266" width="6.140625" style="261" customWidth="1"/>
    <col min="12267" max="12267" width="10.28515625" style="261" customWidth="1"/>
    <col min="12268" max="12268" width="34.140625" style="261" customWidth="1"/>
    <col min="12269" max="12269" width="9.28515625" style="261" customWidth="1"/>
    <col min="12270" max="12271" width="12.140625" style="261" customWidth="1"/>
    <col min="12272" max="12282" width="9.85546875" style="261" customWidth="1"/>
    <col min="12283" max="12283" width="11.5703125" style="261" customWidth="1"/>
    <col min="12284" max="12284" width="12.7109375" style="261" customWidth="1"/>
    <col min="12285" max="12285" width="9.140625" style="261"/>
    <col min="12286" max="12286" width="11.42578125" style="261" customWidth="1"/>
    <col min="12287" max="12520" width="9.140625" style="261"/>
    <col min="12521" max="12521" width="3.140625" style="261" customWidth="1"/>
    <col min="12522" max="12522" width="6.140625" style="261" customWidth="1"/>
    <col min="12523" max="12523" width="10.28515625" style="261" customWidth="1"/>
    <col min="12524" max="12524" width="34.140625" style="261" customWidth="1"/>
    <col min="12525" max="12525" width="9.28515625" style="261" customWidth="1"/>
    <col min="12526" max="12527" width="12.140625" style="261" customWidth="1"/>
    <col min="12528" max="12538" width="9.85546875" style="261" customWidth="1"/>
    <col min="12539" max="12539" width="11.5703125" style="261" customWidth="1"/>
    <col min="12540" max="12540" width="12.7109375" style="261" customWidth="1"/>
    <col min="12541" max="12541" width="9.140625" style="261"/>
    <col min="12542" max="12542" width="11.42578125" style="261" customWidth="1"/>
    <col min="12543" max="12776" width="9.140625" style="261"/>
    <col min="12777" max="12777" width="3.140625" style="261" customWidth="1"/>
    <col min="12778" max="12778" width="6.140625" style="261" customWidth="1"/>
    <col min="12779" max="12779" width="10.28515625" style="261" customWidth="1"/>
    <col min="12780" max="12780" width="34.140625" style="261" customWidth="1"/>
    <col min="12781" max="12781" width="9.28515625" style="261" customWidth="1"/>
    <col min="12782" max="12783" width="12.140625" style="261" customWidth="1"/>
    <col min="12784" max="12794" width="9.85546875" style="261" customWidth="1"/>
    <col min="12795" max="12795" width="11.5703125" style="261" customWidth="1"/>
    <col min="12796" max="12796" width="12.7109375" style="261" customWidth="1"/>
    <col min="12797" max="12797" width="9.140625" style="261"/>
    <col min="12798" max="12798" width="11.42578125" style="261" customWidth="1"/>
    <col min="12799" max="13032" width="9.140625" style="261"/>
    <col min="13033" max="13033" width="3.140625" style="261" customWidth="1"/>
    <col min="13034" max="13034" width="6.140625" style="261" customWidth="1"/>
    <col min="13035" max="13035" width="10.28515625" style="261" customWidth="1"/>
    <col min="13036" max="13036" width="34.140625" style="261" customWidth="1"/>
    <col min="13037" max="13037" width="9.28515625" style="261" customWidth="1"/>
    <col min="13038" max="13039" width="12.140625" style="261" customWidth="1"/>
    <col min="13040" max="13050" width="9.85546875" style="261" customWidth="1"/>
    <col min="13051" max="13051" width="11.5703125" style="261" customWidth="1"/>
    <col min="13052" max="13052" width="12.7109375" style="261" customWidth="1"/>
    <col min="13053" max="13053" width="9.140625" style="261"/>
    <col min="13054" max="13054" width="11.42578125" style="261" customWidth="1"/>
    <col min="13055" max="13288" width="9.140625" style="261"/>
    <col min="13289" max="13289" width="3.140625" style="261" customWidth="1"/>
    <col min="13290" max="13290" width="6.140625" style="261" customWidth="1"/>
    <col min="13291" max="13291" width="10.28515625" style="261" customWidth="1"/>
    <col min="13292" max="13292" width="34.140625" style="261" customWidth="1"/>
    <col min="13293" max="13293" width="9.28515625" style="261" customWidth="1"/>
    <col min="13294" max="13295" width="12.140625" style="261" customWidth="1"/>
    <col min="13296" max="13306" width="9.85546875" style="261" customWidth="1"/>
    <col min="13307" max="13307" width="11.5703125" style="261" customWidth="1"/>
    <col min="13308" max="13308" width="12.7109375" style="261" customWidth="1"/>
    <col min="13309" max="13309" width="9.140625" style="261"/>
    <col min="13310" max="13310" width="11.42578125" style="261" customWidth="1"/>
    <col min="13311" max="13544" width="9.140625" style="261"/>
    <col min="13545" max="13545" width="3.140625" style="261" customWidth="1"/>
    <col min="13546" max="13546" width="6.140625" style="261" customWidth="1"/>
    <col min="13547" max="13547" width="10.28515625" style="261" customWidth="1"/>
    <col min="13548" max="13548" width="34.140625" style="261" customWidth="1"/>
    <col min="13549" max="13549" width="9.28515625" style="261" customWidth="1"/>
    <col min="13550" max="13551" width="12.140625" style="261" customWidth="1"/>
    <col min="13552" max="13562" width="9.85546875" style="261" customWidth="1"/>
    <col min="13563" max="13563" width="11.5703125" style="261" customWidth="1"/>
    <col min="13564" max="13564" width="12.7109375" style="261" customWidth="1"/>
    <col min="13565" max="13565" width="9.140625" style="261"/>
    <col min="13566" max="13566" width="11.42578125" style="261" customWidth="1"/>
    <col min="13567" max="13800" width="9.140625" style="261"/>
    <col min="13801" max="13801" width="3.140625" style="261" customWidth="1"/>
    <col min="13802" max="13802" width="6.140625" style="261" customWidth="1"/>
    <col min="13803" max="13803" width="10.28515625" style="261" customWidth="1"/>
    <col min="13804" max="13804" width="34.140625" style="261" customWidth="1"/>
    <col min="13805" max="13805" width="9.28515625" style="261" customWidth="1"/>
    <col min="13806" max="13807" width="12.140625" style="261" customWidth="1"/>
    <col min="13808" max="13818" width="9.85546875" style="261" customWidth="1"/>
    <col min="13819" max="13819" width="11.5703125" style="261" customWidth="1"/>
    <col min="13820" max="13820" width="12.7109375" style="261" customWidth="1"/>
    <col min="13821" max="13821" width="9.140625" style="261"/>
    <col min="13822" max="13822" width="11.42578125" style="261" customWidth="1"/>
    <col min="13823" max="14056" width="9.140625" style="261"/>
    <col min="14057" max="14057" width="3.140625" style="261" customWidth="1"/>
    <col min="14058" max="14058" width="6.140625" style="261" customWidth="1"/>
    <col min="14059" max="14059" width="10.28515625" style="261" customWidth="1"/>
    <col min="14060" max="14060" width="34.140625" style="261" customWidth="1"/>
    <col min="14061" max="14061" width="9.28515625" style="261" customWidth="1"/>
    <col min="14062" max="14063" width="12.140625" style="261" customWidth="1"/>
    <col min="14064" max="14074" width="9.85546875" style="261" customWidth="1"/>
    <col min="14075" max="14075" width="11.5703125" style="261" customWidth="1"/>
    <col min="14076" max="14076" width="12.7109375" style="261" customWidth="1"/>
    <col min="14077" max="14077" width="9.140625" style="261"/>
    <col min="14078" max="14078" width="11.42578125" style="261" customWidth="1"/>
    <col min="14079" max="14312" width="9.140625" style="261"/>
    <col min="14313" max="14313" width="3.140625" style="261" customWidth="1"/>
    <col min="14314" max="14314" width="6.140625" style="261" customWidth="1"/>
    <col min="14315" max="14315" width="10.28515625" style="261" customWidth="1"/>
    <col min="14316" max="14316" width="34.140625" style="261" customWidth="1"/>
    <col min="14317" max="14317" width="9.28515625" style="261" customWidth="1"/>
    <col min="14318" max="14319" width="12.140625" style="261" customWidth="1"/>
    <col min="14320" max="14330" width="9.85546875" style="261" customWidth="1"/>
    <col min="14331" max="14331" width="11.5703125" style="261" customWidth="1"/>
    <col min="14332" max="14332" width="12.7109375" style="261" customWidth="1"/>
    <col min="14333" max="14333" width="9.140625" style="261"/>
    <col min="14334" max="14334" width="11.42578125" style="261" customWidth="1"/>
    <col min="14335" max="14568" width="9.140625" style="261"/>
    <col min="14569" max="14569" width="3.140625" style="261" customWidth="1"/>
    <col min="14570" max="14570" width="6.140625" style="261" customWidth="1"/>
    <col min="14571" max="14571" width="10.28515625" style="261" customWidth="1"/>
    <col min="14572" max="14572" width="34.140625" style="261" customWidth="1"/>
    <col min="14573" max="14573" width="9.28515625" style="261" customWidth="1"/>
    <col min="14574" max="14575" width="12.140625" style="261" customWidth="1"/>
    <col min="14576" max="14586" width="9.85546875" style="261" customWidth="1"/>
    <col min="14587" max="14587" width="11.5703125" style="261" customWidth="1"/>
    <col min="14588" max="14588" width="12.7109375" style="261" customWidth="1"/>
    <col min="14589" max="14589" width="9.140625" style="261"/>
    <col min="14590" max="14590" width="11.42578125" style="261" customWidth="1"/>
    <col min="14591" max="14824" width="9.140625" style="261"/>
    <col min="14825" max="14825" width="3.140625" style="261" customWidth="1"/>
    <col min="14826" max="14826" width="6.140625" style="261" customWidth="1"/>
    <col min="14827" max="14827" width="10.28515625" style="261" customWidth="1"/>
    <col min="14828" max="14828" width="34.140625" style="261" customWidth="1"/>
    <col min="14829" max="14829" width="9.28515625" style="261" customWidth="1"/>
    <col min="14830" max="14831" width="12.140625" style="261" customWidth="1"/>
    <col min="14832" max="14842" width="9.85546875" style="261" customWidth="1"/>
    <col min="14843" max="14843" width="11.5703125" style="261" customWidth="1"/>
    <col min="14844" max="14844" width="12.7109375" style="261" customWidth="1"/>
    <col min="14845" max="14845" width="9.140625" style="261"/>
    <col min="14846" max="14846" width="11.42578125" style="261" customWidth="1"/>
    <col min="14847" max="15080" width="9.140625" style="261"/>
    <col min="15081" max="15081" width="3.140625" style="261" customWidth="1"/>
    <col min="15082" max="15082" width="6.140625" style="261" customWidth="1"/>
    <col min="15083" max="15083" width="10.28515625" style="261" customWidth="1"/>
    <col min="15084" max="15084" width="34.140625" style="261" customWidth="1"/>
    <col min="15085" max="15085" width="9.28515625" style="261" customWidth="1"/>
    <col min="15086" max="15087" width="12.140625" style="261" customWidth="1"/>
    <col min="15088" max="15098" width="9.85546875" style="261" customWidth="1"/>
    <col min="15099" max="15099" width="11.5703125" style="261" customWidth="1"/>
    <col min="15100" max="15100" width="12.7109375" style="261" customWidth="1"/>
    <col min="15101" max="15101" width="9.140625" style="261"/>
    <col min="15102" max="15102" width="11.42578125" style="261" customWidth="1"/>
    <col min="15103" max="15336" width="9.140625" style="261"/>
    <col min="15337" max="15337" width="3.140625" style="261" customWidth="1"/>
    <col min="15338" max="15338" width="6.140625" style="261" customWidth="1"/>
    <col min="15339" max="15339" width="10.28515625" style="261" customWidth="1"/>
    <col min="15340" max="15340" width="34.140625" style="261" customWidth="1"/>
    <col min="15341" max="15341" width="9.28515625" style="261" customWidth="1"/>
    <col min="15342" max="15343" width="12.140625" style="261" customWidth="1"/>
    <col min="15344" max="15354" width="9.85546875" style="261" customWidth="1"/>
    <col min="15355" max="15355" width="11.5703125" style="261" customWidth="1"/>
    <col min="15356" max="15356" width="12.7109375" style="261" customWidth="1"/>
    <col min="15357" max="15357" width="9.140625" style="261"/>
    <col min="15358" max="15358" width="11.42578125" style="261" customWidth="1"/>
    <col min="15359" max="15592" width="9.140625" style="261"/>
    <col min="15593" max="15593" width="3.140625" style="261" customWidth="1"/>
    <col min="15594" max="15594" width="6.140625" style="261" customWidth="1"/>
    <col min="15595" max="15595" width="10.28515625" style="261" customWidth="1"/>
    <col min="15596" max="15596" width="34.140625" style="261" customWidth="1"/>
    <col min="15597" max="15597" width="9.28515625" style="261" customWidth="1"/>
    <col min="15598" max="15599" width="12.140625" style="261" customWidth="1"/>
    <col min="15600" max="15610" width="9.85546875" style="261" customWidth="1"/>
    <col min="15611" max="15611" width="11.5703125" style="261" customWidth="1"/>
    <col min="15612" max="15612" width="12.7109375" style="261" customWidth="1"/>
    <col min="15613" max="15613" width="9.140625" style="261"/>
    <col min="15614" max="15614" width="11.42578125" style="261" customWidth="1"/>
    <col min="15615" max="15848" width="9.140625" style="261"/>
    <col min="15849" max="15849" width="3.140625" style="261" customWidth="1"/>
    <col min="15850" max="15850" width="6.140625" style="261" customWidth="1"/>
    <col min="15851" max="15851" width="10.28515625" style="261" customWidth="1"/>
    <col min="15852" max="15852" width="34.140625" style="261" customWidth="1"/>
    <col min="15853" max="15853" width="9.28515625" style="261" customWidth="1"/>
    <col min="15854" max="15855" width="12.140625" style="261" customWidth="1"/>
    <col min="15856" max="15866" width="9.85546875" style="261" customWidth="1"/>
    <col min="15867" max="15867" width="11.5703125" style="261" customWidth="1"/>
    <col min="15868" max="15868" width="12.7109375" style="261" customWidth="1"/>
    <col min="15869" max="15869" width="9.140625" style="261"/>
    <col min="15870" max="15870" width="11.42578125" style="261" customWidth="1"/>
    <col min="15871" max="16104" width="9.140625" style="261"/>
    <col min="16105" max="16105" width="3.140625" style="261" customWidth="1"/>
    <col min="16106" max="16106" width="6.140625" style="261" customWidth="1"/>
    <col min="16107" max="16107" width="10.28515625" style="261" customWidth="1"/>
    <col min="16108" max="16108" width="34.140625" style="261" customWidth="1"/>
    <col min="16109" max="16109" width="9.28515625" style="261" customWidth="1"/>
    <col min="16110" max="16111" width="12.140625" style="261" customWidth="1"/>
    <col min="16112" max="16122" width="9.85546875" style="261" customWidth="1"/>
    <col min="16123" max="16123" width="11.5703125" style="261" customWidth="1"/>
    <col min="16124" max="16124" width="12.7109375" style="261" customWidth="1"/>
    <col min="16125" max="16125" width="9.140625" style="261"/>
    <col min="16126" max="16126" width="11.42578125" style="261" customWidth="1"/>
    <col min="16127" max="16384" width="9.140625" style="261"/>
  </cols>
  <sheetData>
    <row r="1" spans="1:6" s="256" customFormat="1" ht="42" customHeight="1" x14ac:dyDescent="0.25">
      <c r="A1" s="235"/>
      <c r="B1" s="444" t="s">
        <v>236</v>
      </c>
      <c r="C1" s="444"/>
      <c r="D1" s="444"/>
      <c r="E1" s="444"/>
      <c r="F1" s="444"/>
    </row>
    <row r="2" spans="1:6" s="256" customFormat="1" x14ac:dyDescent="0.25">
      <c r="A2" s="235"/>
      <c r="B2" s="445" t="s">
        <v>361</v>
      </c>
      <c r="C2" s="445"/>
      <c r="D2" s="445"/>
      <c r="E2" s="445"/>
      <c r="F2" s="445"/>
    </row>
    <row r="3" spans="1:6" s="256" customFormat="1" ht="18.75" customHeight="1" x14ac:dyDescent="0.25">
      <c r="A3" s="235"/>
      <c r="B3" s="442" t="s">
        <v>11</v>
      </c>
      <c r="C3" s="442" t="s">
        <v>12</v>
      </c>
      <c r="D3" s="442"/>
      <c r="E3" s="442" t="s">
        <v>13</v>
      </c>
      <c r="F3" s="443" t="s">
        <v>14</v>
      </c>
    </row>
    <row r="4" spans="1:6" s="257" customFormat="1" ht="35.25" customHeight="1" x14ac:dyDescent="0.25">
      <c r="A4" s="237"/>
      <c r="B4" s="442"/>
      <c r="C4" s="442"/>
      <c r="D4" s="442"/>
      <c r="E4" s="442"/>
      <c r="F4" s="443"/>
    </row>
    <row r="5" spans="1:6" s="257" customFormat="1" ht="25.5" customHeight="1" x14ac:dyDescent="0.25">
      <c r="A5" s="237"/>
      <c r="B5" s="258"/>
      <c r="C5" s="442" t="s">
        <v>362</v>
      </c>
      <c r="D5" s="442"/>
      <c r="E5" s="258"/>
      <c r="F5" s="54"/>
    </row>
    <row r="6" spans="1:6" s="257" customFormat="1" ht="18.75" customHeight="1" x14ac:dyDescent="0.25">
      <c r="A6" s="237"/>
      <c r="B6" s="258">
        <v>1</v>
      </c>
      <c r="C6" s="446" t="s">
        <v>363</v>
      </c>
      <c r="D6" s="446"/>
      <c r="E6" s="258" t="s">
        <v>8</v>
      </c>
      <c r="F6" s="54">
        <f>SUM(F7:F8)</f>
        <v>2</v>
      </c>
    </row>
    <row r="7" spans="1:6" s="257" customFormat="1" ht="20.25" customHeight="1" x14ac:dyDescent="0.25">
      <c r="A7" s="237"/>
      <c r="B7" s="258"/>
      <c r="C7" s="447" t="s">
        <v>364</v>
      </c>
      <c r="D7" s="447"/>
      <c r="E7" s="259" t="s">
        <v>8</v>
      </c>
      <c r="F7" s="262">
        <f>1</f>
        <v>1</v>
      </c>
    </row>
    <row r="8" spans="1:6" s="257" customFormat="1" ht="20.25" customHeight="1" x14ac:dyDescent="0.25">
      <c r="A8" s="237"/>
      <c r="B8" s="258"/>
      <c r="C8" s="447" t="s">
        <v>365</v>
      </c>
      <c r="D8" s="447"/>
      <c r="E8" s="259" t="s">
        <v>8</v>
      </c>
      <c r="F8" s="262">
        <v>1</v>
      </c>
    </row>
    <row r="9" spans="1:6" s="257" customFormat="1" ht="20.25" customHeight="1" x14ac:dyDescent="0.25">
      <c r="A9" s="237"/>
      <c r="B9" s="258">
        <v>2</v>
      </c>
      <c r="C9" s="446" t="s">
        <v>363</v>
      </c>
      <c r="D9" s="446"/>
      <c r="E9" s="258" t="s">
        <v>8</v>
      </c>
      <c r="F9" s="54">
        <f>SUM(F10:F12)</f>
        <v>5</v>
      </c>
    </row>
    <row r="10" spans="1:6" s="257" customFormat="1" ht="20.25" customHeight="1" x14ac:dyDescent="0.25">
      <c r="A10" s="237"/>
      <c r="B10" s="258"/>
      <c r="C10" s="447" t="s">
        <v>366</v>
      </c>
      <c r="D10" s="447"/>
      <c r="E10" s="259" t="s">
        <v>8</v>
      </c>
      <c r="F10" s="262">
        <f>1+1</f>
        <v>2</v>
      </c>
    </row>
    <row r="11" spans="1:6" s="257" customFormat="1" ht="20.25" customHeight="1" x14ac:dyDescent="0.25">
      <c r="A11" s="237"/>
      <c r="B11" s="258"/>
      <c r="C11" s="447" t="s">
        <v>367</v>
      </c>
      <c r="D11" s="447"/>
      <c r="E11" s="259" t="s">
        <v>8</v>
      </c>
      <c r="F11" s="262">
        <v>1</v>
      </c>
    </row>
    <row r="12" spans="1:6" s="257" customFormat="1" ht="20.25" customHeight="1" x14ac:dyDescent="0.25">
      <c r="A12" s="237"/>
      <c r="B12" s="258"/>
      <c r="C12" s="447" t="s">
        <v>368</v>
      </c>
      <c r="D12" s="447"/>
      <c r="E12" s="259" t="s">
        <v>8</v>
      </c>
      <c r="F12" s="262">
        <v>2</v>
      </c>
    </row>
    <row r="13" spans="1:6" s="257" customFormat="1" ht="20.25" customHeight="1" x14ac:dyDescent="0.25">
      <c r="A13" s="237"/>
      <c r="B13" s="258">
        <v>3</v>
      </c>
      <c r="C13" s="446" t="s">
        <v>369</v>
      </c>
      <c r="D13" s="446"/>
      <c r="E13" s="259" t="s">
        <v>8</v>
      </c>
      <c r="F13" s="54">
        <v>10</v>
      </c>
    </row>
    <row r="14" spans="1:6" s="257" customFormat="1" ht="20.25" customHeight="1" x14ac:dyDescent="0.25">
      <c r="A14" s="237"/>
      <c r="B14" s="258"/>
      <c r="C14" s="447" t="s">
        <v>370</v>
      </c>
      <c r="D14" s="447"/>
      <c r="E14" s="259" t="s">
        <v>8</v>
      </c>
      <c r="F14" s="262">
        <v>10</v>
      </c>
    </row>
    <row r="15" spans="1:6" s="257" customFormat="1" ht="20.25" customHeight="1" x14ac:dyDescent="0.25">
      <c r="A15" s="237"/>
      <c r="B15" s="258">
        <v>4</v>
      </c>
      <c r="C15" s="447" t="s">
        <v>371</v>
      </c>
      <c r="D15" s="447"/>
      <c r="E15" s="259" t="s">
        <v>8</v>
      </c>
      <c r="F15" s="262">
        <v>2</v>
      </c>
    </row>
    <row r="16" spans="1:6" s="257" customFormat="1" ht="20.25" customHeight="1" x14ac:dyDescent="0.25">
      <c r="A16" s="237"/>
      <c r="B16" s="258"/>
      <c r="C16" s="447" t="s">
        <v>372</v>
      </c>
      <c r="D16" s="447"/>
      <c r="E16" s="259" t="s">
        <v>8</v>
      </c>
      <c r="F16" s="262">
        <f>2</f>
        <v>2</v>
      </c>
    </row>
    <row r="17" spans="1:6" s="257" customFormat="1" ht="20.25" customHeight="1" x14ac:dyDescent="0.25">
      <c r="A17" s="237"/>
      <c r="B17" s="258"/>
      <c r="C17" s="447" t="s">
        <v>373</v>
      </c>
      <c r="D17" s="447"/>
      <c r="E17" s="259" t="s">
        <v>8</v>
      </c>
      <c r="F17" s="262">
        <v>2</v>
      </c>
    </row>
    <row r="18" spans="1:6" s="257" customFormat="1" ht="28.5" customHeight="1" x14ac:dyDescent="0.25">
      <c r="A18" s="237"/>
      <c r="B18" s="258"/>
      <c r="C18" s="447" t="s">
        <v>374</v>
      </c>
      <c r="D18" s="447"/>
      <c r="E18" s="259" t="s">
        <v>8</v>
      </c>
      <c r="F18" s="262">
        <v>1</v>
      </c>
    </row>
    <row r="19" spans="1:6" s="257" customFormat="1" ht="28.5" customHeight="1" x14ac:dyDescent="0.25">
      <c r="A19" s="237"/>
      <c r="B19" s="258"/>
      <c r="C19" s="447" t="s">
        <v>375</v>
      </c>
      <c r="D19" s="447"/>
      <c r="E19" s="259" t="s">
        <v>8</v>
      </c>
      <c r="F19" s="262">
        <v>2</v>
      </c>
    </row>
    <row r="20" spans="1:6" s="257" customFormat="1" ht="20.25" customHeight="1" x14ac:dyDescent="0.25">
      <c r="A20" s="237"/>
      <c r="B20" s="258"/>
      <c r="C20" s="447" t="s">
        <v>376</v>
      </c>
      <c r="D20" s="447"/>
      <c r="E20" s="259" t="s">
        <v>8</v>
      </c>
      <c r="F20" s="262">
        <f>1</f>
        <v>1</v>
      </c>
    </row>
    <row r="21" spans="1:6" s="257" customFormat="1" ht="20.25" customHeight="1" x14ac:dyDescent="0.25">
      <c r="A21" s="237"/>
      <c r="B21" s="258"/>
      <c r="C21" s="447" t="s">
        <v>377</v>
      </c>
      <c r="D21" s="447"/>
      <c r="E21" s="259" t="s">
        <v>8</v>
      </c>
      <c r="F21" s="262">
        <v>1</v>
      </c>
    </row>
    <row r="22" spans="1:6" s="257" customFormat="1" ht="20.25" customHeight="1" x14ac:dyDescent="0.25">
      <c r="A22" s="237"/>
      <c r="B22" s="258"/>
      <c r="C22" s="447" t="s">
        <v>378</v>
      </c>
      <c r="D22" s="447"/>
      <c r="E22" s="259" t="s">
        <v>8</v>
      </c>
      <c r="F22" s="262">
        <f>1+1</f>
        <v>2</v>
      </c>
    </row>
    <row r="23" spans="1:6" s="257" customFormat="1" ht="20.25" customHeight="1" x14ac:dyDescent="0.25">
      <c r="A23" s="237"/>
      <c r="B23" s="258"/>
      <c r="C23" s="447" t="s">
        <v>379</v>
      </c>
      <c r="D23" s="447"/>
      <c r="E23" s="259" t="s">
        <v>8</v>
      </c>
      <c r="F23" s="262">
        <v>1</v>
      </c>
    </row>
    <row r="24" spans="1:6" s="260" customFormat="1" ht="32.25" customHeight="1" x14ac:dyDescent="0.25">
      <c r="A24" s="243"/>
      <c r="B24" s="258">
        <v>5</v>
      </c>
      <c r="C24" s="446" t="s">
        <v>380</v>
      </c>
      <c r="D24" s="446"/>
      <c r="E24" s="258" t="s">
        <v>52</v>
      </c>
      <c r="F24" s="54">
        <v>610</v>
      </c>
    </row>
    <row r="25" spans="1:6" s="260" customFormat="1" ht="36" customHeight="1" x14ac:dyDescent="0.25">
      <c r="A25" s="237"/>
      <c r="B25" s="259"/>
      <c r="C25" s="447" t="s">
        <v>381</v>
      </c>
      <c r="D25" s="447"/>
      <c r="E25" s="259" t="s">
        <v>7</v>
      </c>
      <c r="F25" s="262">
        <v>453.8</v>
      </c>
    </row>
    <row r="26" spans="1:6" s="260" customFormat="1" ht="30" customHeight="1" x14ac:dyDescent="0.25">
      <c r="A26" s="237"/>
      <c r="B26" s="259"/>
      <c r="C26" s="447" t="s">
        <v>382</v>
      </c>
      <c r="D26" s="447"/>
      <c r="E26" s="259" t="s">
        <v>8</v>
      </c>
      <c r="F26" s="262">
        <f>2</f>
        <v>2</v>
      </c>
    </row>
    <row r="27" spans="1:6" s="260" customFormat="1" ht="30" customHeight="1" x14ac:dyDescent="0.25">
      <c r="A27" s="237"/>
      <c r="B27" s="259"/>
      <c r="C27" s="447" t="s">
        <v>383</v>
      </c>
      <c r="D27" s="447"/>
      <c r="E27" s="259" t="s">
        <v>8</v>
      </c>
      <c r="F27" s="262">
        <f>1</f>
        <v>1</v>
      </c>
    </row>
    <row r="28" spans="1:6" s="260" customFormat="1" ht="29.25" customHeight="1" x14ac:dyDescent="0.25">
      <c r="A28" s="237"/>
      <c r="B28" s="259"/>
      <c r="C28" s="447" t="s">
        <v>384</v>
      </c>
      <c r="D28" s="447"/>
      <c r="E28" s="259" t="s">
        <v>8</v>
      </c>
      <c r="F28" s="262">
        <f>1</f>
        <v>1</v>
      </c>
    </row>
    <row r="29" spans="1:6" s="260" customFormat="1" ht="29.25" customHeight="1" x14ac:dyDescent="0.25">
      <c r="A29" s="237"/>
      <c r="B29" s="259"/>
      <c r="C29" s="447" t="s">
        <v>385</v>
      </c>
      <c r="D29" s="447"/>
      <c r="E29" s="259" t="s">
        <v>8</v>
      </c>
      <c r="F29" s="262">
        <v>1</v>
      </c>
    </row>
    <row r="30" spans="1:6" s="260" customFormat="1" ht="29.25" customHeight="1" x14ac:dyDescent="0.25">
      <c r="A30" s="237"/>
      <c r="B30" s="259"/>
      <c r="C30" s="447" t="s">
        <v>387</v>
      </c>
      <c r="D30" s="447"/>
      <c r="E30" s="259" t="s">
        <v>8</v>
      </c>
      <c r="F30" s="262">
        <f>1+1</f>
        <v>2</v>
      </c>
    </row>
    <row r="31" spans="1:6" s="260" customFormat="1" ht="29.25" customHeight="1" x14ac:dyDescent="0.25">
      <c r="A31" s="237"/>
      <c r="B31" s="259"/>
      <c r="C31" s="447" t="s">
        <v>388</v>
      </c>
      <c r="D31" s="447"/>
      <c r="E31" s="259" t="s">
        <v>8</v>
      </c>
      <c r="F31" s="262">
        <f>1+1</f>
        <v>2</v>
      </c>
    </row>
    <row r="32" spans="1:6" s="260" customFormat="1" ht="29.25" customHeight="1" x14ac:dyDescent="0.25">
      <c r="A32" s="237"/>
      <c r="B32" s="259"/>
      <c r="C32" s="447" t="s">
        <v>386</v>
      </c>
      <c r="D32" s="447"/>
      <c r="E32" s="259" t="s">
        <v>8</v>
      </c>
      <c r="F32" s="262">
        <f>1</f>
        <v>1</v>
      </c>
    </row>
    <row r="33" spans="1:6" s="260" customFormat="1" ht="29.25" customHeight="1" x14ac:dyDescent="0.25">
      <c r="A33" s="237"/>
      <c r="B33" s="259"/>
      <c r="C33" s="447" t="s">
        <v>389</v>
      </c>
      <c r="D33" s="447"/>
      <c r="E33" s="259" t="s">
        <v>8</v>
      </c>
      <c r="F33" s="262">
        <v>1</v>
      </c>
    </row>
    <row r="34" spans="1:6" s="260" customFormat="1" ht="27" customHeight="1" x14ac:dyDescent="0.25">
      <c r="A34" s="237"/>
      <c r="B34" s="259"/>
      <c r="C34" s="447" t="s">
        <v>390</v>
      </c>
      <c r="D34" s="447"/>
      <c r="E34" s="259" t="s">
        <v>8</v>
      </c>
      <c r="F34" s="262">
        <v>1</v>
      </c>
    </row>
    <row r="35" spans="1:6" s="260" customFormat="1" ht="30" customHeight="1" x14ac:dyDescent="0.25">
      <c r="A35" s="237"/>
      <c r="B35" s="259"/>
      <c r="C35" s="447" t="s">
        <v>391</v>
      </c>
      <c r="D35" s="447"/>
      <c r="E35" s="259" t="s">
        <v>8</v>
      </c>
      <c r="F35" s="262">
        <v>8</v>
      </c>
    </row>
    <row r="36" spans="1:6" s="260" customFormat="1" ht="33.75" customHeight="1" x14ac:dyDescent="0.25">
      <c r="A36" s="237"/>
      <c r="B36" s="259"/>
      <c r="C36" s="447" t="s">
        <v>392</v>
      </c>
      <c r="D36" s="447"/>
      <c r="E36" s="259" t="s">
        <v>8</v>
      </c>
      <c r="F36" s="262">
        <v>4</v>
      </c>
    </row>
    <row r="37" spans="1:6" s="260" customFormat="1" ht="27.75" customHeight="1" x14ac:dyDescent="0.25">
      <c r="A37" s="237"/>
      <c r="B37" s="259"/>
      <c r="C37" s="447" t="s">
        <v>393</v>
      </c>
      <c r="D37" s="447"/>
      <c r="E37" s="259" t="s">
        <v>8</v>
      </c>
      <c r="F37" s="262">
        <f>3+3</f>
        <v>6</v>
      </c>
    </row>
    <row r="38" spans="1:6" s="260" customFormat="1" ht="29.25" customHeight="1" x14ac:dyDescent="0.25">
      <c r="A38" s="237"/>
      <c r="B38" s="259"/>
      <c r="C38" s="447" t="s">
        <v>394</v>
      </c>
      <c r="D38" s="447"/>
      <c r="E38" s="259" t="s">
        <v>8</v>
      </c>
      <c r="F38" s="262">
        <f>4+4+4</f>
        <v>12</v>
      </c>
    </row>
    <row r="39" spans="1:6" s="260" customFormat="1" ht="28.5" customHeight="1" x14ac:dyDescent="0.25">
      <c r="A39" s="237"/>
      <c r="B39" s="259"/>
      <c r="C39" s="447" t="s">
        <v>395</v>
      </c>
      <c r="D39" s="447"/>
      <c r="E39" s="259" t="s">
        <v>8</v>
      </c>
      <c r="F39" s="262">
        <f>2</f>
        <v>2</v>
      </c>
    </row>
    <row r="40" spans="1:6" s="260" customFormat="1" ht="31.5" customHeight="1" x14ac:dyDescent="0.25">
      <c r="A40" s="237"/>
      <c r="B40" s="259"/>
      <c r="C40" s="447" t="s">
        <v>396</v>
      </c>
      <c r="D40" s="447"/>
      <c r="E40" s="259" t="s">
        <v>8</v>
      </c>
      <c r="F40" s="262">
        <f>1</f>
        <v>1</v>
      </c>
    </row>
    <row r="41" spans="1:6" s="260" customFormat="1" ht="32.25" customHeight="1" x14ac:dyDescent="0.25">
      <c r="A41" s="237"/>
      <c r="B41" s="259"/>
      <c r="C41" s="447" t="s">
        <v>397</v>
      </c>
      <c r="D41" s="447"/>
      <c r="E41" s="259" t="s">
        <v>8</v>
      </c>
      <c r="F41" s="262">
        <f>1</f>
        <v>1</v>
      </c>
    </row>
    <row r="42" spans="1:6" s="260" customFormat="1" ht="18.75" customHeight="1" x14ac:dyDescent="0.25">
      <c r="A42" s="237"/>
      <c r="B42" s="259"/>
      <c r="C42" s="447" t="s">
        <v>398</v>
      </c>
      <c r="D42" s="447"/>
      <c r="E42" s="259" t="s">
        <v>8</v>
      </c>
      <c r="F42" s="262">
        <v>3</v>
      </c>
    </row>
    <row r="43" spans="1:6" s="260" customFormat="1" ht="29.25" customHeight="1" x14ac:dyDescent="0.25">
      <c r="A43" s="237"/>
      <c r="B43" s="259"/>
      <c r="C43" s="447" t="s">
        <v>399</v>
      </c>
      <c r="D43" s="447"/>
      <c r="E43" s="259" t="s">
        <v>6</v>
      </c>
      <c r="F43" s="262">
        <v>45.5</v>
      </c>
    </row>
    <row r="44" spans="1:6" s="260" customFormat="1" ht="31.5" customHeight="1" x14ac:dyDescent="0.25">
      <c r="A44" s="237"/>
      <c r="B44" s="259"/>
      <c r="C44" s="447" t="s">
        <v>400</v>
      </c>
      <c r="D44" s="447"/>
      <c r="E44" s="259" t="s">
        <v>8</v>
      </c>
      <c r="F44" s="262">
        <f>3+3</f>
        <v>6</v>
      </c>
    </row>
    <row r="45" spans="1:6" s="260" customFormat="1" ht="28.5" customHeight="1" x14ac:dyDescent="0.25">
      <c r="A45" s="237"/>
      <c r="B45" s="259"/>
      <c r="C45" s="447" t="s">
        <v>401</v>
      </c>
      <c r="D45" s="447"/>
      <c r="E45" s="259" t="s">
        <v>7</v>
      </c>
      <c r="F45" s="262">
        <f>66.5</f>
        <v>66.5</v>
      </c>
    </row>
    <row r="46" spans="1:6" s="260" customFormat="1" ht="28.5" customHeight="1" x14ac:dyDescent="0.25">
      <c r="A46" s="237"/>
      <c r="B46" s="259"/>
      <c r="C46" s="447" t="s">
        <v>402</v>
      </c>
      <c r="D46" s="447"/>
      <c r="E46" s="259" t="s">
        <v>8</v>
      </c>
      <c r="F46" s="262">
        <v>1</v>
      </c>
    </row>
    <row r="47" spans="1:6" s="260" customFormat="1" ht="30.75" customHeight="1" x14ac:dyDescent="0.25">
      <c r="A47" s="237"/>
      <c r="B47" s="259"/>
      <c r="C47" s="447" t="s">
        <v>403</v>
      </c>
      <c r="D47" s="447"/>
      <c r="E47" s="259" t="s">
        <v>8</v>
      </c>
      <c r="F47" s="262">
        <v>1</v>
      </c>
    </row>
    <row r="48" spans="1:6" s="260" customFormat="1" ht="44.25" customHeight="1" x14ac:dyDescent="0.25">
      <c r="A48" s="237"/>
      <c r="B48" s="259"/>
      <c r="C48" s="447" t="s">
        <v>404</v>
      </c>
      <c r="D48" s="447"/>
      <c r="E48" s="259" t="s">
        <v>8</v>
      </c>
      <c r="F48" s="262">
        <v>1</v>
      </c>
    </row>
    <row r="49" spans="1:6" s="260" customFormat="1" ht="18.75" customHeight="1" x14ac:dyDescent="0.25">
      <c r="A49" s="243"/>
      <c r="B49" s="258">
        <v>6</v>
      </c>
      <c r="C49" s="446" t="s">
        <v>405</v>
      </c>
      <c r="D49" s="446"/>
      <c r="E49" s="258"/>
      <c r="F49" s="54"/>
    </row>
    <row r="50" spans="1:6" s="260" customFormat="1" ht="30.75" customHeight="1" x14ac:dyDescent="0.25">
      <c r="A50" s="243"/>
      <c r="B50" s="258"/>
      <c r="C50" s="446" t="s">
        <v>406</v>
      </c>
      <c r="D50" s="446"/>
      <c r="E50" s="258" t="s">
        <v>8</v>
      </c>
      <c r="F50" s="54">
        <f>14</f>
        <v>14</v>
      </c>
    </row>
    <row r="51" spans="1:6" s="260" customFormat="1" ht="30.75" customHeight="1" x14ac:dyDescent="0.25">
      <c r="A51" s="243"/>
      <c r="B51" s="258"/>
      <c r="C51" s="446" t="s">
        <v>407</v>
      </c>
      <c r="D51" s="446"/>
      <c r="E51" s="258" t="s">
        <v>8</v>
      </c>
      <c r="F51" s="54">
        <f>4</f>
        <v>4</v>
      </c>
    </row>
    <row r="52" spans="1:6" s="260" customFormat="1" ht="30.75" customHeight="1" x14ac:dyDescent="0.25">
      <c r="A52" s="243"/>
      <c r="B52" s="258"/>
      <c r="C52" s="446" t="s">
        <v>408</v>
      </c>
      <c r="D52" s="446"/>
      <c r="E52" s="258" t="s">
        <v>8</v>
      </c>
      <c r="F52" s="54">
        <f>1</f>
        <v>1</v>
      </c>
    </row>
  </sheetData>
  <mergeCells count="54">
    <mergeCell ref="C50:D50"/>
    <mergeCell ref="C51:D51"/>
    <mergeCell ref="C52:D52"/>
    <mergeCell ref="C45:D45"/>
    <mergeCell ref="C46:D46"/>
    <mergeCell ref="C47:D47"/>
    <mergeCell ref="C48:D48"/>
    <mergeCell ref="C49:D49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40:D40"/>
    <mergeCell ref="C30:D30"/>
    <mergeCell ref="C31:D31"/>
    <mergeCell ref="C32:D32"/>
    <mergeCell ref="C33:D33"/>
    <mergeCell ref="C34:D34"/>
    <mergeCell ref="C28:D28"/>
    <mergeCell ref="C29:D29"/>
    <mergeCell ref="C22:D22"/>
    <mergeCell ref="C23:D23"/>
    <mergeCell ref="C24:D24"/>
    <mergeCell ref="C25:D25"/>
    <mergeCell ref="C26:D26"/>
    <mergeCell ref="C27:D27"/>
    <mergeCell ref="C19:D19"/>
    <mergeCell ref="C20:D20"/>
    <mergeCell ref="C21:D21"/>
    <mergeCell ref="C14:D14"/>
    <mergeCell ref="C15:D15"/>
    <mergeCell ref="C16:D16"/>
    <mergeCell ref="C17:D17"/>
    <mergeCell ref="C18:D18"/>
    <mergeCell ref="C13:D13"/>
    <mergeCell ref="C5:D5"/>
    <mergeCell ref="C6:D6"/>
    <mergeCell ref="C7:D7"/>
    <mergeCell ref="C8:D8"/>
    <mergeCell ref="C9:D9"/>
    <mergeCell ref="C10:D10"/>
    <mergeCell ref="C11:D11"/>
    <mergeCell ref="C12:D12"/>
    <mergeCell ref="B3:B4"/>
    <mergeCell ref="C3:D4"/>
    <mergeCell ref="E3:E4"/>
    <mergeCell ref="F3:F4"/>
    <mergeCell ref="B1:F1"/>
    <mergeCell ref="B2:F2"/>
  </mergeCells>
  <pageMargins left="0.7" right="0.7" top="0.75" bottom="0.75" header="0.3" footer="0.3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E76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9.140625" style="10"/>
    <col min="2" max="2" width="6" style="10" customWidth="1"/>
    <col min="3" max="3" width="56.7109375" style="10" customWidth="1"/>
    <col min="4" max="4" width="9.140625" style="10"/>
    <col min="5" max="5" width="9.85546875" style="10" customWidth="1"/>
    <col min="6" max="6" width="9.140625" style="10"/>
    <col min="7" max="7" width="11.42578125" style="10" bestFit="1" customWidth="1"/>
    <col min="8" max="16384" width="9.140625" style="10"/>
  </cols>
  <sheetData>
    <row r="1" spans="1:5" s="7" customFormat="1" ht="42.75" customHeight="1" x14ac:dyDescent="0.25">
      <c r="B1" s="450" t="s">
        <v>236</v>
      </c>
      <c r="C1" s="450"/>
      <c r="D1" s="450"/>
      <c r="E1" s="450"/>
    </row>
    <row r="2" spans="1:5" s="7" customFormat="1" ht="39.75" customHeight="1" x14ac:dyDescent="0.25">
      <c r="B2" s="394" t="s">
        <v>480</v>
      </c>
      <c r="C2" s="394"/>
      <c r="D2" s="394"/>
      <c r="E2" s="394"/>
    </row>
    <row r="3" spans="1:5" s="263" customFormat="1" ht="37.5" customHeight="1" x14ac:dyDescent="0.25">
      <c r="A3" s="448"/>
      <c r="B3" s="449" t="s">
        <v>409</v>
      </c>
      <c r="C3" s="449" t="s">
        <v>410</v>
      </c>
      <c r="D3" s="449" t="s">
        <v>13</v>
      </c>
      <c r="E3" s="449" t="s">
        <v>411</v>
      </c>
    </row>
    <row r="4" spans="1:5" s="263" customFormat="1" x14ac:dyDescent="0.25">
      <c r="A4" s="448"/>
      <c r="B4" s="449"/>
      <c r="C4" s="449"/>
      <c r="D4" s="449"/>
      <c r="E4" s="449"/>
    </row>
    <row r="5" spans="1:5" s="263" customFormat="1" x14ac:dyDescent="0.25">
      <c r="B5" s="55"/>
      <c r="C5" s="55" t="s">
        <v>444</v>
      </c>
      <c r="D5" s="55"/>
      <c r="E5" s="55"/>
    </row>
    <row r="6" spans="1:5" ht="30" customHeight="1" x14ac:dyDescent="0.25">
      <c r="B6" s="55">
        <v>1</v>
      </c>
      <c r="C6" s="5" t="s">
        <v>413</v>
      </c>
      <c r="D6" s="55" t="s">
        <v>51</v>
      </c>
      <c r="E6" s="55">
        <f>1</f>
        <v>1</v>
      </c>
    </row>
    <row r="7" spans="1:5" ht="20.100000000000001" customHeight="1" x14ac:dyDescent="0.25">
      <c r="B7" s="55">
        <v>2</v>
      </c>
      <c r="C7" s="5" t="s">
        <v>414</v>
      </c>
      <c r="D7" s="55" t="s">
        <v>51</v>
      </c>
      <c r="E7" s="55">
        <v>1</v>
      </c>
    </row>
    <row r="8" spans="1:5" ht="30" customHeight="1" x14ac:dyDescent="0.25">
      <c r="B8" s="8">
        <v>3</v>
      </c>
      <c r="C8" s="5" t="s">
        <v>441</v>
      </c>
      <c r="D8" s="55" t="s">
        <v>51</v>
      </c>
      <c r="E8" s="55">
        <f>1+1+3+1+1+1+1</f>
        <v>9</v>
      </c>
    </row>
    <row r="9" spans="1:5" ht="20.25" customHeight="1" x14ac:dyDescent="0.25">
      <c r="B9" s="6"/>
      <c r="C9" s="264" t="s">
        <v>415</v>
      </c>
      <c r="D9" s="6" t="s">
        <v>51</v>
      </c>
      <c r="E9" s="6">
        <f>6+18+6+5+13</f>
        <v>48</v>
      </c>
    </row>
    <row r="10" spans="1:5" ht="30" customHeight="1" x14ac:dyDescent="0.25">
      <c r="B10" s="6"/>
      <c r="C10" s="264" t="s">
        <v>436</v>
      </c>
      <c r="D10" s="6" t="s">
        <v>51</v>
      </c>
      <c r="E10" s="6">
        <f>1+1+3+1</f>
        <v>6</v>
      </c>
    </row>
    <row r="11" spans="1:5" ht="20.25" customHeight="1" x14ac:dyDescent="0.25">
      <c r="B11" s="6"/>
      <c r="C11" s="264" t="s">
        <v>418</v>
      </c>
      <c r="D11" s="6" t="s">
        <v>51</v>
      </c>
      <c r="E11" s="6">
        <v>6</v>
      </c>
    </row>
    <row r="12" spans="1:5" ht="20.25" customHeight="1" x14ac:dyDescent="0.25">
      <c r="B12" s="6"/>
      <c r="C12" s="264" t="s">
        <v>416</v>
      </c>
      <c r="D12" s="6" t="s">
        <v>51</v>
      </c>
      <c r="E12" s="6">
        <v>7</v>
      </c>
    </row>
    <row r="13" spans="1:5" ht="20.25" customHeight="1" x14ac:dyDescent="0.25">
      <c r="B13" s="6"/>
      <c r="C13" s="264" t="s">
        <v>439</v>
      </c>
      <c r="D13" s="6" t="s">
        <v>51</v>
      </c>
      <c r="E13" s="6">
        <f>1+1</f>
        <v>2</v>
      </c>
    </row>
    <row r="14" spans="1:5" ht="20.25" customHeight="1" x14ac:dyDescent="0.25">
      <c r="B14" s="6"/>
      <c r="C14" s="264" t="s">
        <v>419</v>
      </c>
      <c r="D14" s="6" t="s">
        <v>51</v>
      </c>
      <c r="E14" s="6">
        <f>1</f>
        <v>1</v>
      </c>
    </row>
    <row r="15" spans="1:5" ht="20.25" customHeight="1" x14ac:dyDescent="0.25">
      <c r="B15" s="6"/>
      <c r="C15" s="264" t="s">
        <v>420</v>
      </c>
      <c r="D15" s="6" t="s">
        <v>51</v>
      </c>
      <c r="E15" s="6">
        <f>1</f>
        <v>1</v>
      </c>
    </row>
    <row r="16" spans="1:5" ht="20.25" customHeight="1" x14ac:dyDescent="0.25">
      <c r="B16" s="6"/>
      <c r="C16" s="264" t="s">
        <v>421</v>
      </c>
      <c r="D16" s="6" t="s">
        <v>51</v>
      </c>
      <c r="E16" s="6">
        <f>8+5+6+2+1</f>
        <v>22</v>
      </c>
    </row>
    <row r="17" spans="2:5" ht="20.25" customHeight="1" x14ac:dyDescent="0.25">
      <c r="B17" s="6"/>
      <c r="C17" s="264" t="s">
        <v>437</v>
      </c>
      <c r="D17" s="6" t="s">
        <v>51</v>
      </c>
      <c r="E17" s="6">
        <f>3+9+3</f>
        <v>15</v>
      </c>
    </row>
    <row r="18" spans="2:5" ht="21" customHeight="1" x14ac:dyDescent="0.25">
      <c r="B18" s="6"/>
      <c r="C18" s="264" t="s">
        <v>438</v>
      </c>
      <c r="D18" s="6" t="s">
        <v>51</v>
      </c>
      <c r="E18" s="6">
        <f>1+3+1</f>
        <v>5</v>
      </c>
    </row>
    <row r="19" spans="2:5" ht="39.75" customHeight="1" x14ac:dyDescent="0.25">
      <c r="B19" s="8">
        <v>4</v>
      </c>
      <c r="C19" s="5" t="s">
        <v>442</v>
      </c>
      <c r="D19" s="55" t="s">
        <v>51</v>
      </c>
      <c r="E19" s="55">
        <v>2</v>
      </c>
    </row>
    <row r="20" spans="2:5" ht="31.5" customHeight="1" x14ac:dyDescent="0.25">
      <c r="B20" s="6"/>
      <c r="C20" s="264" t="s">
        <v>422</v>
      </c>
      <c r="D20" s="6" t="s">
        <v>51</v>
      </c>
      <c r="E20" s="6">
        <v>2</v>
      </c>
    </row>
    <row r="21" spans="2:5" ht="32.25" customHeight="1" x14ac:dyDescent="0.25">
      <c r="B21" s="6"/>
      <c r="C21" s="264" t="s">
        <v>440</v>
      </c>
      <c r="D21" s="6" t="s">
        <v>51</v>
      </c>
      <c r="E21" s="6">
        <v>2</v>
      </c>
    </row>
    <row r="22" spans="2:5" ht="26.25" customHeight="1" x14ac:dyDescent="0.25">
      <c r="B22" s="55">
        <v>5</v>
      </c>
      <c r="C22" s="5" t="s">
        <v>443</v>
      </c>
      <c r="D22" s="55" t="s">
        <v>51</v>
      </c>
      <c r="E22" s="55">
        <v>6</v>
      </c>
    </row>
    <row r="23" spans="2:5" ht="34.5" customHeight="1" x14ac:dyDescent="0.25">
      <c r="B23" s="55">
        <v>6</v>
      </c>
      <c r="C23" s="5" t="s">
        <v>423</v>
      </c>
      <c r="D23" s="55"/>
      <c r="E23" s="55"/>
    </row>
    <row r="24" spans="2:5" ht="21" customHeight="1" x14ac:dyDescent="0.25">
      <c r="B24" s="6"/>
      <c r="C24" s="264" t="s">
        <v>452</v>
      </c>
      <c r="D24" s="6" t="s">
        <v>8</v>
      </c>
      <c r="E24" s="6">
        <v>1</v>
      </c>
    </row>
    <row r="25" spans="2:5" ht="21" customHeight="1" x14ac:dyDescent="0.25">
      <c r="B25" s="6"/>
      <c r="C25" s="264" t="s">
        <v>417</v>
      </c>
      <c r="D25" s="6" t="s">
        <v>51</v>
      </c>
      <c r="E25" s="6">
        <f>1</f>
        <v>1</v>
      </c>
    </row>
    <row r="26" spans="2:5" ht="21" customHeight="1" x14ac:dyDescent="0.25">
      <c r="B26" s="6"/>
      <c r="C26" s="264" t="s">
        <v>436</v>
      </c>
      <c r="D26" s="6" t="s">
        <v>51</v>
      </c>
      <c r="E26" s="6">
        <v>3</v>
      </c>
    </row>
    <row r="27" spans="2:5" ht="21" customHeight="1" x14ac:dyDescent="0.25">
      <c r="B27" s="6"/>
      <c r="C27" s="264" t="s">
        <v>418</v>
      </c>
      <c r="D27" s="6" t="s">
        <v>51</v>
      </c>
      <c r="E27" s="6">
        <v>3</v>
      </c>
    </row>
    <row r="28" spans="2:5" ht="21" customHeight="1" x14ac:dyDescent="0.25">
      <c r="B28" s="6"/>
      <c r="C28" s="264" t="s">
        <v>419</v>
      </c>
      <c r="D28" s="6" t="s">
        <v>51</v>
      </c>
      <c r="E28" s="6">
        <v>4</v>
      </c>
    </row>
    <row r="29" spans="2:5" ht="21" customHeight="1" x14ac:dyDescent="0.25">
      <c r="B29" s="6"/>
      <c r="C29" s="264" t="s">
        <v>415</v>
      </c>
      <c r="D29" s="6" t="s">
        <v>51</v>
      </c>
      <c r="E29" s="6">
        <v>1</v>
      </c>
    </row>
    <row r="30" spans="2:5" ht="21" customHeight="1" x14ac:dyDescent="0.25">
      <c r="B30" s="6"/>
      <c r="C30" s="55" t="s">
        <v>454</v>
      </c>
      <c r="D30" s="6"/>
      <c r="E30" s="6"/>
    </row>
    <row r="31" spans="2:5" ht="21" customHeight="1" x14ac:dyDescent="0.25">
      <c r="B31" s="55"/>
      <c r="C31" s="5" t="s">
        <v>445</v>
      </c>
      <c r="D31" s="55" t="s">
        <v>51</v>
      </c>
      <c r="E31" s="55">
        <f>126+23+20+9+22+54</f>
        <v>254</v>
      </c>
    </row>
    <row r="32" spans="2:5" ht="21" customHeight="1" x14ac:dyDescent="0.25">
      <c r="B32" s="55"/>
      <c r="C32" s="5" t="s">
        <v>446</v>
      </c>
      <c r="D32" s="55" t="s">
        <v>51</v>
      </c>
      <c r="E32" s="55">
        <v>79</v>
      </c>
    </row>
    <row r="33" spans="2:5" ht="21" customHeight="1" x14ac:dyDescent="0.25">
      <c r="B33" s="6"/>
      <c r="C33" s="265" t="s">
        <v>447</v>
      </c>
      <c r="D33" s="266" t="s">
        <v>51</v>
      </c>
      <c r="E33" s="6">
        <v>37</v>
      </c>
    </row>
    <row r="34" spans="2:5" ht="21" customHeight="1" x14ac:dyDescent="0.25">
      <c r="B34" s="55"/>
      <c r="C34" s="5" t="s">
        <v>448</v>
      </c>
      <c r="D34" s="55" t="s">
        <v>51</v>
      </c>
      <c r="E34" s="55">
        <v>91</v>
      </c>
    </row>
    <row r="35" spans="2:5" x14ac:dyDescent="0.25">
      <c r="B35" s="6"/>
      <c r="C35" s="55" t="s">
        <v>453</v>
      </c>
      <c r="D35" s="6"/>
      <c r="E35" s="6"/>
    </row>
    <row r="36" spans="2:5" ht="45" x14ac:dyDescent="0.25">
      <c r="B36" s="55"/>
      <c r="C36" s="5" t="s">
        <v>424</v>
      </c>
      <c r="D36" s="55" t="s">
        <v>208</v>
      </c>
      <c r="E36" s="55">
        <f>SUM(E37:E43)</f>
        <v>4398</v>
      </c>
    </row>
    <row r="37" spans="2:5" x14ac:dyDescent="0.25">
      <c r="B37" s="6"/>
      <c r="C37" s="267" t="s">
        <v>425</v>
      </c>
      <c r="D37" s="6" t="s">
        <v>208</v>
      </c>
      <c r="E37" s="6">
        <v>1905</v>
      </c>
    </row>
    <row r="38" spans="2:5" x14ac:dyDescent="0.25">
      <c r="B38" s="6"/>
      <c r="C38" s="267" t="s">
        <v>426</v>
      </c>
      <c r="D38" s="6" t="s">
        <v>208</v>
      </c>
      <c r="E38" s="6">
        <v>1892</v>
      </c>
    </row>
    <row r="39" spans="2:5" x14ac:dyDescent="0.25">
      <c r="B39" s="6"/>
      <c r="C39" s="267" t="s">
        <v>427</v>
      </c>
      <c r="D39" s="6" t="s">
        <v>208</v>
      </c>
      <c r="E39" s="6">
        <v>58</v>
      </c>
    </row>
    <row r="40" spans="2:5" x14ac:dyDescent="0.25">
      <c r="B40" s="6"/>
      <c r="C40" s="267" t="s">
        <v>428</v>
      </c>
      <c r="D40" s="6" t="s">
        <v>208</v>
      </c>
      <c r="E40" s="6">
        <v>138</v>
      </c>
    </row>
    <row r="41" spans="2:5" x14ac:dyDescent="0.25">
      <c r="B41" s="6"/>
      <c r="C41" s="268" t="s">
        <v>450</v>
      </c>
      <c r="D41" s="6" t="s">
        <v>208</v>
      </c>
      <c r="E41" s="6">
        <v>329</v>
      </c>
    </row>
    <row r="42" spans="2:5" x14ac:dyDescent="0.25">
      <c r="B42" s="55"/>
      <c r="C42" s="267" t="s">
        <v>429</v>
      </c>
      <c r="D42" s="6" t="s">
        <v>208</v>
      </c>
      <c r="E42" s="6">
        <v>66</v>
      </c>
    </row>
    <row r="43" spans="2:5" x14ac:dyDescent="0.25">
      <c r="B43" s="55"/>
      <c r="C43" s="269" t="s">
        <v>451</v>
      </c>
      <c r="D43" s="6" t="s">
        <v>208</v>
      </c>
      <c r="E43" s="6">
        <v>10</v>
      </c>
    </row>
    <row r="44" spans="2:5" ht="45" x14ac:dyDescent="0.25">
      <c r="B44" s="55"/>
      <c r="C44" s="5" t="s">
        <v>430</v>
      </c>
      <c r="D44" s="55" t="s">
        <v>208</v>
      </c>
      <c r="E44" s="55">
        <f>SUM(E45:E49)</f>
        <v>1967</v>
      </c>
    </row>
    <row r="45" spans="2:5" x14ac:dyDescent="0.25">
      <c r="B45" s="6"/>
      <c r="C45" s="267" t="s">
        <v>431</v>
      </c>
      <c r="D45" s="6" t="s">
        <v>208</v>
      </c>
      <c r="E45" s="6">
        <v>10</v>
      </c>
    </row>
    <row r="46" spans="2:5" x14ac:dyDescent="0.25">
      <c r="B46" s="6"/>
      <c r="C46" s="267" t="s">
        <v>432</v>
      </c>
      <c r="D46" s="6" t="s">
        <v>208</v>
      </c>
      <c r="E46" s="6">
        <v>120</v>
      </c>
    </row>
    <row r="47" spans="2:5" x14ac:dyDescent="0.25">
      <c r="B47" s="6"/>
      <c r="C47" s="269" t="s">
        <v>449</v>
      </c>
      <c r="D47" s="6" t="s">
        <v>208</v>
      </c>
      <c r="E47" s="6">
        <v>355</v>
      </c>
    </row>
    <row r="48" spans="2:5" x14ac:dyDescent="0.25">
      <c r="B48" s="6"/>
      <c r="C48" s="267" t="s">
        <v>433</v>
      </c>
      <c r="D48" s="6" t="s">
        <v>208</v>
      </c>
      <c r="E48" s="6">
        <v>129</v>
      </c>
    </row>
    <row r="49" spans="2:5" x14ac:dyDescent="0.25">
      <c r="B49" s="55"/>
      <c r="C49" s="267" t="s">
        <v>434</v>
      </c>
      <c r="D49" s="6" t="s">
        <v>208</v>
      </c>
      <c r="E49" s="6">
        <v>1353</v>
      </c>
    </row>
    <row r="50" spans="2:5" x14ac:dyDescent="0.25">
      <c r="B50" s="6"/>
      <c r="C50" s="55" t="s">
        <v>455</v>
      </c>
      <c r="D50" s="6"/>
      <c r="E50" s="6"/>
    </row>
    <row r="51" spans="2:5" ht="30" x14ac:dyDescent="0.25">
      <c r="B51" s="6"/>
      <c r="C51" s="270" t="s">
        <v>456</v>
      </c>
      <c r="D51" s="6" t="s">
        <v>51</v>
      </c>
      <c r="E51" s="6">
        <v>23</v>
      </c>
    </row>
    <row r="52" spans="2:5" x14ac:dyDescent="0.25">
      <c r="B52" s="6"/>
      <c r="C52" s="270" t="s">
        <v>457</v>
      </c>
      <c r="D52" s="6" t="s">
        <v>51</v>
      </c>
      <c r="E52" s="6">
        <v>10</v>
      </c>
    </row>
    <row r="53" spans="2:5" ht="30" x14ac:dyDescent="0.25">
      <c r="B53" s="6"/>
      <c r="C53" s="270" t="s">
        <v>459</v>
      </c>
      <c r="D53" s="6" t="s">
        <v>51</v>
      </c>
      <c r="E53" s="6">
        <v>4</v>
      </c>
    </row>
    <row r="54" spans="2:5" ht="30" x14ac:dyDescent="0.25">
      <c r="B54" s="6"/>
      <c r="C54" s="270" t="s">
        <v>458</v>
      </c>
      <c r="D54" s="6" t="s">
        <v>51</v>
      </c>
      <c r="E54" s="6">
        <v>27</v>
      </c>
    </row>
    <row r="55" spans="2:5" x14ac:dyDescent="0.25">
      <c r="B55" s="6"/>
      <c r="C55" s="55" t="s">
        <v>460</v>
      </c>
      <c r="D55" s="6"/>
      <c r="E55" s="6"/>
    </row>
    <row r="56" spans="2:5" x14ac:dyDescent="0.25">
      <c r="B56" s="6"/>
      <c r="C56" s="270" t="s">
        <v>462</v>
      </c>
      <c r="D56" s="6" t="s">
        <v>208</v>
      </c>
      <c r="E56" s="6">
        <v>66</v>
      </c>
    </row>
    <row r="57" spans="2:5" x14ac:dyDescent="0.25">
      <c r="B57" s="6"/>
      <c r="C57" s="270" t="s">
        <v>461</v>
      </c>
      <c r="D57" s="6" t="s">
        <v>208</v>
      </c>
      <c r="E57" s="6">
        <v>951</v>
      </c>
    </row>
    <row r="58" spans="2:5" x14ac:dyDescent="0.25">
      <c r="B58" s="6"/>
      <c r="C58" s="270" t="s">
        <v>463</v>
      </c>
      <c r="D58" s="6" t="s">
        <v>208</v>
      </c>
      <c r="E58" s="6">
        <v>1892</v>
      </c>
    </row>
    <row r="59" spans="2:5" x14ac:dyDescent="0.25">
      <c r="B59" s="6"/>
      <c r="C59" s="270" t="s">
        <v>464</v>
      </c>
      <c r="D59" s="6" t="s">
        <v>208</v>
      </c>
      <c r="E59" s="6">
        <v>3258</v>
      </c>
    </row>
    <row r="60" spans="2:5" x14ac:dyDescent="0.25">
      <c r="B60" s="55"/>
      <c r="C60" s="271"/>
      <c r="D60" s="6"/>
      <c r="E60" s="6"/>
    </row>
    <row r="61" spans="2:5" x14ac:dyDescent="0.25">
      <c r="B61" s="6"/>
      <c r="C61" s="265" t="s">
        <v>465</v>
      </c>
      <c r="D61" s="266" t="s">
        <v>51</v>
      </c>
      <c r="E61" s="6">
        <v>45</v>
      </c>
    </row>
    <row r="62" spans="2:5" x14ac:dyDescent="0.25">
      <c r="B62" s="6"/>
      <c r="C62" s="270" t="s">
        <v>474</v>
      </c>
      <c r="D62" s="266" t="s">
        <v>51</v>
      </c>
      <c r="E62" s="6">
        <v>1</v>
      </c>
    </row>
    <row r="63" spans="2:5" x14ac:dyDescent="0.25">
      <c r="B63" s="55"/>
      <c r="C63" s="270" t="s">
        <v>466</v>
      </c>
      <c r="D63" s="266" t="s">
        <v>51</v>
      </c>
      <c r="E63" s="6">
        <f>45+1</f>
        <v>46</v>
      </c>
    </row>
    <row r="64" spans="2:5" x14ac:dyDescent="0.25">
      <c r="B64" s="55"/>
      <c r="C64" s="265" t="s">
        <v>467</v>
      </c>
      <c r="D64" s="266" t="s">
        <v>51</v>
      </c>
      <c r="E64" s="6">
        <f>87+1</f>
        <v>88</v>
      </c>
    </row>
    <row r="65" spans="2:5" x14ac:dyDescent="0.25">
      <c r="B65" s="55"/>
      <c r="C65" s="265" t="s">
        <v>468</v>
      </c>
      <c r="D65" s="266" t="s">
        <v>51</v>
      </c>
      <c r="E65" s="6">
        <v>45</v>
      </c>
    </row>
    <row r="66" spans="2:5" x14ac:dyDescent="0.25">
      <c r="B66" s="55"/>
      <c r="C66" s="265" t="s">
        <v>469</v>
      </c>
      <c r="D66" s="266" t="s">
        <v>51</v>
      </c>
      <c r="E66" s="6">
        <f>266+6</f>
        <v>272</v>
      </c>
    </row>
    <row r="67" spans="2:5" x14ac:dyDescent="0.25">
      <c r="B67" s="55"/>
      <c r="C67" s="265" t="s">
        <v>470</v>
      </c>
      <c r="D67" s="266" t="s">
        <v>51</v>
      </c>
      <c r="E67" s="6">
        <f>131+3</f>
        <v>134</v>
      </c>
    </row>
    <row r="68" spans="2:5" x14ac:dyDescent="0.25">
      <c r="B68" s="55"/>
      <c r="C68" s="265" t="s">
        <v>471</v>
      </c>
      <c r="D68" s="266" t="s">
        <v>51</v>
      </c>
      <c r="E68" s="6">
        <f>131+3</f>
        <v>134</v>
      </c>
    </row>
    <row r="69" spans="2:5" x14ac:dyDescent="0.25">
      <c r="B69" s="55"/>
      <c r="C69" s="265" t="s">
        <v>472</v>
      </c>
      <c r="D69" s="266" t="s">
        <v>51</v>
      </c>
      <c r="E69" s="6">
        <f>131+3</f>
        <v>134</v>
      </c>
    </row>
    <row r="70" spans="2:5" x14ac:dyDescent="0.25">
      <c r="B70" s="55"/>
      <c r="C70" s="265" t="s">
        <v>473</v>
      </c>
      <c r="D70" s="266" t="s">
        <v>51</v>
      </c>
      <c r="E70" s="6">
        <f>524+12</f>
        <v>536</v>
      </c>
    </row>
    <row r="71" spans="2:5" x14ac:dyDescent="0.25">
      <c r="B71" s="6"/>
      <c r="C71" s="55" t="s">
        <v>475</v>
      </c>
      <c r="D71" s="6"/>
      <c r="E71" s="6"/>
    </row>
    <row r="72" spans="2:5" x14ac:dyDescent="0.25">
      <c r="B72" s="6"/>
      <c r="C72" s="271" t="s">
        <v>435</v>
      </c>
      <c r="D72" s="266" t="s">
        <v>208</v>
      </c>
      <c r="E72" s="6">
        <v>500</v>
      </c>
    </row>
    <row r="73" spans="2:5" x14ac:dyDescent="0.25">
      <c r="B73" s="6"/>
      <c r="C73" s="270" t="s">
        <v>476</v>
      </c>
      <c r="D73" s="6" t="s">
        <v>51</v>
      </c>
      <c r="E73" s="6">
        <v>382</v>
      </c>
    </row>
    <row r="74" spans="2:5" x14ac:dyDescent="0.25">
      <c r="B74" s="6"/>
      <c r="C74" s="270" t="s">
        <v>477</v>
      </c>
      <c r="D74" s="6" t="s">
        <v>51</v>
      </c>
      <c r="E74" s="6">
        <v>129</v>
      </c>
    </row>
    <row r="75" spans="2:5" x14ac:dyDescent="0.25">
      <c r="B75" s="6"/>
      <c r="C75" s="270" t="s">
        <v>478</v>
      </c>
      <c r="D75" s="266" t="s">
        <v>51</v>
      </c>
      <c r="E75" s="6">
        <v>3</v>
      </c>
    </row>
    <row r="76" spans="2:5" x14ac:dyDescent="0.25">
      <c r="B76" s="6"/>
      <c r="C76" s="270" t="s">
        <v>479</v>
      </c>
      <c r="D76" s="266" t="s">
        <v>51</v>
      </c>
      <c r="E76" s="6">
        <v>1</v>
      </c>
    </row>
  </sheetData>
  <mergeCells count="7">
    <mergeCell ref="B1:E1"/>
    <mergeCell ref="B2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E34"/>
  <sheetViews>
    <sheetView zoomScaleNormal="100" workbookViewId="0">
      <selection activeCell="C40" sqref="C40"/>
    </sheetView>
  </sheetViews>
  <sheetFormatPr defaultColWidth="9.140625" defaultRowHeight="15" x14ac:dyDescent="0.25"/>
  <cols>
    <col min="1" max="1" width="9.140625" style="10"/>
    <col min="2" max="2" width="6" style="10" customWidth="1"/>
    <col min="3" max="3" width="56.7109375" style="10" customWidth="1"/>
    <col min="4" max="4" width="9.140625" style="10"/>
    <col min="5" max="5" width="9.85546875" style="10" customWidth="1"/>
    <col min="6" max="16384" width="9.140625" style="10"/>
  </cols>
  <sheetData>
    <row r="1" spans="1:5" s="7" customFormat="1" ht="39.75" customHeight="1" x14ac:dyDescent="0.25">
      <c r="B1" s="450" t="s">
        <v>236</v>
      </c>
      <c r="C1" s="450"/>
      <c r="D1" s="450"/>
      <c r="E1" s="450"/>
    </row>
    <row r="2" spans="1:5" s="7" customFormat="1" ht="18.75" customHeight="1" x14ac:dyDescent="0.25">
      <c r="B2" s="400" t="s">
        <v>481</v>
      </c>
      <c r="C2" s="400"/>
      <c r="D2" s="400"/>
      <c r="E2" s="400"/>
    </row>
    <row r="4" spans="1:5" s="263" customFormat="1" ht="37.5" customHeight="1" x14ac:dyDescent="0.25">
      <c r="A4" s="448"/>
      <c r="B4" s="449" t="s">
        <v>409</v>
      </c>
      <c r="C4" s="449" t="s">
        <v>410</v>
      </c>
      <c r="D4" s="449" t="s">
        <v>13</v>
      </c>
      <c r="E4" s="449" t="s">
        <v>411</v>
      </c>
    </row>
    <row r="5" spans="1:5" s="263" customFormat="1" x14ac:dyDescent="0.25">
      <c r="A5" s="448"/>
      <c r="B5" s="449"/>
      <c r="C5" s="449"/>
      <c r="D5" s="449"/>
      <c r="E5" s="449"/>
    </row>
    <row r="6" spans="1:5" s="263" customFormat="1" ht="30" x14ac:dyDescent="0.25">
      <c r="B6" s="55"/>
      <c r="C6" s="55" t="s">
        <v>482</v>
      </c>
      <c r="D6" s="55"/>
      <c r="E6" s="55"/>
    </row>
    <row r="7" spans="1:5" ht="30" customHeight="1" x14ac:dyDescent="0.25">
      <c r="B7" s="55"/>
      <c r="C7" s="5" t="s">
        <v>483</v>
      </c>
      <c r="D7" s="55" t="s">
        <v>51</v>
      </c>
      <c r="E7" s="55">
        <v>3</v>
      </c>
    </row>
    <row r="8" spans="1:5" ht="31.5" customHeight="1" x14ac:dyDescent="0.25">
      <c r="B8" s="55"/>
      <c r="C8" s="5" t="s">
        <v>484</v>
      </c>
      <c r="D8" s="55" t="s">
        <v>51</v>
      </c>
      <c r="E8" s="55">
        <v>1</v>
      </c>
    </row>
    <row r="9" spans="1:5" ht="30" customHeight="1" x14ac:dyDescent="0.25">
      <c r="B9" s="8"/>
      <c r="C9" s="5" t="s">
        <v>485</v>
      </c>
      <c r="D9" s="55" t="s">
        <v>51</v>
      </c>
      <c r="E9" s="55">
        <v>7</v>
      </c>
    </row>
    <row r="10" spans="1:5" ht="27.75" customHeight="1" x14ac:dyDescent="0.25">
      <c r="B10" s="6"/>
      <c r="C10" s="5" t="s">
        <v>486</v>
      </c>
      <c r="D10" s="55" t="s">
        <v>51</v>
      </c>
      <c r="E10" s="55">
        <v>2</v>
      </c>
    </row>
    <row r="11" spans="1:5" ht="30" customHeight="1" x14ac:dyDescent="0.25">
      <c r="B11" s="6"/>
      <c r="C11" s="5" t="s">
        <v>487</v>
      </c>
      <c r="D11" s="55" t="s">
        <v>51</v>
      </c>
      <c r="E11" s="55">
        <v>154</v>
      </c>
    </row>
    <row r="12" spans="1:5" ht="33" customHeight="1" x14ac:dyDescent="0.25">
      <c r="B12" s="6"/>
      <c r="C12" s="5" t="s">
        <v>488</v>
      </c>
      <c r="D12" s="55" t="s">
        <v>51</v>
      </c>
      <c r="E12" s="55">
        <v>2</v>
      </c>
    </row>
    <row r="13" spans="1:5" ht="36.75" customHeight="1" x14ac:dyDescent="0.25">
      <c r="B13" s="6"/>
      <c r="C13" s="5" t="s">
        <v>489</v>
      </c>
      <c r="D13" s="55" t="s">
        <v>51</v>
      </c>
      <c r="E13" s="55">
        <v>3</v>
      </c>
    </row>
    <row r="14" spans="1:5" ht="35.25" customHeight="1" x14ac:dyDescent="0.25">
      <c r="B14" s="6"/>
      <c r="C14" s="5" t="s">
        <v>490</v>
      </c>
      <c r="D14" s="55" t="s">
        <v>51</v>
      </c>
      <c r="E14" s="55">
        <v>14</v>
      </c>
    </row>
    <row r="15" spans="1:5" ht="29.25" customHeight="1" x14ac:dyDescent="0.25">
      <c r="B15" s="6"/>
      <c r="C15" s="5" t="s">
        <v>491</v>
      </c>
      <c r="D15" s="55" t="s">
        <v>51</v>
      </c>
      <c r="E15" s="55">
        <v>6</v>
      </c>
    </row>
    <row r="16" spans="1:5" ht="45" customHeight="1" x14ac:dyDescent="0.25">
      <c r="B16" s="6"/>
      <c r="C16" s="5" t="s">
        <v>492</v>
      </c>
      <c r="D16" s="55" t="s">
        <v>51</v>
      </c>
      <c r="E16" s="55">
        <v>1</v>
      </c>
    </row>
    <row r="17" spans="2:5" ht="25.5" customHeight="1" x14ac:dyDescent="0.25">
      <c r="B17" s="6"/>
      <c r="C17" s="5" t="s">
        <v>493</v>
      </c>
      <c r="D17" s="55" t="s">
        <v>51</v>
      </c>
      <c r="E17" s="55">
        <v>154</v>
      </c>
    </row>
    <row r="18" spans="2:5" ht="26.25" customHeight="1" x14ac:dyDescent="0.25">
      <c r="B18" s="6"/>
      <c r="C18" s="5" t="s">
        <v>494</v>
      </c>
      <c r="D18" s="55" t="s">
        <v>51</v>
      </c>
      <c r="E18" s="55">
        <v>8</v>
      </c>
    </row>
    <row r="19" spans="2:5" ht="21" customHeight="1" x14ac:dyDescent="0.25">
      <c r="B19" s="6"/>
      <c r="C19" s="5" t="s">
        <v>495</v>
      </c>
      <c r="D19" s="55" t="s">
        <v>51</v>
      </c>
      <c r="E19" s="55">
        <v>16</v>
      </c>
    </row>
    <row r="20" spans="2:5" ht="32.25" customHeight="1" x14ac:dyDescent="0.25">
      <c r="B20" s="8"/>
      <c r="C20" s="5" t="s">
        <v>496</v>
      </c>
      <c r="D20" s="55" t="s">
        <v>51</v>
      </c>
      <c r="E20" s="55">
        <v>1</v>
      </c>
    </row>
    <row r="21" spans="2:5" ht="31.5" customHeight="1" x14ac:dyDescent="0.25">
      <c r="B21" s="6"/>
      <c r="C21" s="5" t="s">
        <v>497</v>
      </c>
      <c r="D21" s="55" t="s">
        <v>51</v>
      </c>
      <c r="E21" s="55">
        <v>2</v>
      </c>
    </row>
    <row r="22" spans="2:5" ht="32.25" customHeight="1" x14ac:dyDescent="0.25">
      <c r="B22" s="6"/>
      <c r="C22" s="5" t="s">
        <v>498</v>
      </c>
      <c r="D22" s="55" t="s">
        <v>51</v>
      </c>
      <c r="E22" s="55">
        <v>3</v>
      </c>
    </row>
    <row r="23" spans="2:5" ht="26.25" customHeight="1" x14ac:dyDescent="0.25">
      <c r="B23" s="55"/>
      <c r="C23" s="5" t="s">
        <v>499</v>
      </c>
      <c r="D23" s="55" t="s">
        <v>208</v>
      </c>
      <c r="E23" s="55">
        <f>SUM(E24:E32)</f>
        <v>3020</v>
      </c>
    </row>
    <row r="24" spans="2:5" ht="34.5" customHeight="1" x14ac:dyDescent="0.25">
      <c r="B24" s="55"/>
      <c r="C24" s="13" t="s">
        <v>500</v>
      </c>
      <c r="D24" s="12" t="s">
        <v>208</v>
      </c>
      <c r="E24" s="12">
        <v>700</v>
      </c>
    </row>
    <row r="25" spans="2:5" ht="21" customHeight="1" x14ac:dyDescent="0.25">
      <c r="B25" s="6"/>
      <c r="C25" s="13" t="s">
        <v>501</v>
      </c>
      <c r="D25" s="12" t="s">
        <v>208</v>
      </c>
      <c r="E25" s="12">
        <v>1600</v>
      </c>
    </row>
    <row r="26" spans="2:5" ht="21" customHeight="1" x14ac:dyDescent="0.25">
      <c r="B26" s="6"/>
      <c r="C26" s="13" t="s">
        <v>502</v>
      </c>
      <c r="D26" s="12" t="s">
        <v>208</v>
      </c>
      <c r="E26" s="12">
        <v>250</v>
      </c>
    </row>
    <row r="27" spans="2:5" ht="21" customHeight="1" x14ac:dyDescent="0.25">
      <c r="B27" s="6"/>
      <c r="C27" s="13" t="s">
        <v>503</v>
      </c>
      <c r="D27" s="12" t="s">
        <v>208</v>
      </c>
      <c r="E27" s="12">
        <v>150</v>
      </c>
    </row>
    <row r="28" spans="2:5" ht="21" customHeight="1" x14ac:dyDescent="0.25">
      <c r="B28" s="6"/>
      <c r="C28" s="13" t="s">
        <v>504</v>
      </c>
      <c r="D28" s="12" t="s">
        <v>208</v>
      </c>
      <c r="E28" s="12">
        <v>200</v>
      </c>
    </row>
    <row r="29" spans="2:5" ht="21" customHeight="1" x14ac:dyDescent="0.25">
      <c r="B29" s="6"/>
      <c r="C29" s="13" t="s">
        <v>505</v>
      </c>
      <c r="D29" s="12" t="s">
        <v>208</v>
      </c>
      <c r="E29" s="12">
        <v>30</v>
      </c>
    </row>
    <row r="30" spans="2:5" ht="21" customHeight="1" x14ac:dyDescent="0.25">
      <c r="B30" s="6"/>
      <c r="C30" s="13" t="s">
        <v>506</v>
      </c>
      <c r="D30" s="12" t="s">
        <v>208</v>
      </c>
      <c r="E30" s="12">
        <v>10</v>
      </c>
    </row>
    <row r="31" spans="2:5" ht="21" customHeight="1" x14ac:dyDescent="0.25">
      <c r="B31" s="6"/>
      <c r="C31" s="13" t="s">
        <v>507</v>
      </c>
      <c r="D31" s="12" t="s">
        <v>208</v>
      </c>
      <c r="E31" s="12">
        <v>10</v>
      </c>
    </row>
    <row r="32" spans="2:5" ht="21" customHeight="1" x14ac:dyDescent="0.25">
      <c r="B32" s="55"/>
      <c r="C32" s="13" t="s">
        <v>508</v>
      </c>
      <c r="D32" s="12" t="s">
        <v>208</v>
      </c>
      <c r="E32" s="12">
        <v>70</v>
      </c>
    </row>
    <row r="33" spans="2:5" ht="21" customHeight="1" x14ac:dyDescent="0.25">
      <c r="B33" s="55"/>
      <c r="C33" s="5" t="s">
        <v>509</v>
      </c>
      <c r="D33" s="55" t="s">
        <v>208</v>
      </c>
      <c r="E33" s="55">
        <v>3000</v>
      </c>
    </row>
    <row r="34" spans="2:5" ht="21" customHeight="1" x14ac:dyDescent="0.25">
      <c r="B34" s="6"/>
      <c r="C34" s="25" t="s">
        <v>510</v>
      </c>
      <c r="D34" s="11" t="s">
        <v>51</v>
      </c>
      <c r="E34" s="6">
        <v>160</v>
      </c>
    </row>
  </sheetData>
  <mergeCells count="7">
    <mergeCell ref="B1:E1"/>
    <mergeCell ref="B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E29"/>
  <sheetViews>
    <sheetView topLeftCell="B1" zoomScaleNormal="100" workbookViewId="0">
      <selection activeCell="G10" sqref="G10"/>
    </sheetView>
  </sheetViews>
  <sheetFormatPr defaultColWidth="9.140625" defaultRowHeight="15" x14ac:dyDescent="0.25"/>
  <cols>
    <col min="1" max="1" width="9.140625" style="10"/>
    <col min="2" max="2" width="6" style="10" customWidth="1"/>
    <col min="3" max="3" width="56.7109375" style="10" customWidth="1"/>
    <col min="4" max="4" width="9.140625" style="10"/>
    <col min="5" max="5" width="9.85546875" style="10" customWidth="1"/>
    <col min="6" max="16384" width="9.140625" style="10"/>
  </cols>
  <sheetData>
    <row r="1" spans="1:5" s="7" customFormat="1" ht="38.25" customHeight="1" x14ac:dyDescent="0.25">
      <c r="B1" s="450" t="s">
        <v>236</v>
      </c>
      <c r="C1" s="450"/>
      <c r="D1" s="450"/>
      <c r="E1" s="450"/>
    </row>
    <row r="2" spans="1:5" s="7" customFormat="1" ht="45" customHeight="1" x14ac:dyDescent="0.25">
      <c r="B2" s="451" t="s">
        <v>511</v>
      </c>
      <c r="C2" s="451"/>
      <c r="D2" s="451"/>
      <c r="E2" s="451"/>
    </row>
    <row r="3" spans="1:5" s="263" customFormat="1" ht="37.5" customHeight="1" x14ac:dyDescent="0.25">
      <c r="A3" s="448"/>
      <c r="B3" s="449" t="s">
        <v>409</v>
      </c>
      <c r="C3" s="449" t="s">
        <v>410</v>
      </c>
      <c r="D3" s="449" t="s">
        <v>13</v>
      </c>
      <c r="E3" s="449" t="s">
        <v>411</v>
      </c>
    </row>
    <row r="4" spans="1:5" s="263" customFormat="1" x14ac:dyDescent="0.25">
      <c r="A4" s="448"/>
      <c r="B4" s="449"/>
      <c r="C4" s="449"/>
      <c r="D4" s="449"/>
      <c r="E4" s="449"/>
    </row>
    <row r="5" spans="1:5" s="263" customFormat="1" x14ac:dyDescent="0.25">
      <c r="B5" s="55"/>
      <c r="C5" s="55" t="s">
        <v>512</v>
      </c>
      <c r="D5" s="55"/>
      <c r="E5" s="55"/>
    </row>
    <row r="6" spans="1:5" ht="30" customHeight="1" x14ac:dyDescent="0.25">
      <c r="B6" s="55"/>
      <c r="C6" s="5" t="s">
        <v>513</v>
      </c>
      <c r="D6" s="55" t="s">
        <v>51</v>
      </c>
      <c r="E6" s="55">
        <v>3</v>
      </c>
    </row>
    <row r="7" spans="1:5" ht="31.5" customHeight="1" x14ac:dyDescent="0.25">
      <c r="B7" s="55"/>
      <c r="C7" s="5" t="s">
        <v>514</v>
      </c>
      <c r="D7" s="55" t="s">
        <v>51</v>
      </c>
      <c r="E7" s="55">
        <v>3</v>
      </c>
    </row>
    <row r="8" spans="1:5" ht="30" customHeight="1" x14ac:dyDescent="0.25">
      <c r="B8" s="8"/>
      <c r="C8" s="5" t="s">
        <v>515</v>
      </c>
      <c r="D8" s="55" t="s">
        <v>51</v>
      </c>
      <c r="E8" s="55">
        <v>6</v>
      </c>
    </row>
    <row r="9" spans="1:5" ht="27.75" customHeight="1" x14ac:dyDescent="0.25">
      <c r="B9" s="6"/>
      <c r="C9" s="5" t="s">
        <v>516</v>
      </c>
      <c r="D9" s="55" t="s">
        <v>51</v>
      </c>
      <c r="E9" s="55">
        <v>3</v>
      </c>
    </row>
    <row r="10" spans="1:5" ht="30" customHeight="1" x14ac:dyDescent="0.25">
      <c r="B10" s="6"/>
      <c r="C10" s="5" t="s">
        <v>517</v>
      </c>
      <c r="D10" s="55" t="s">
        <v>51</v>
      </c>
      <c r="E10" s="55">
        <v>6</v>
      </c>
    </row>
    <row r="11" spans="1:5" ht="33" customHeight="1" x14ac:dyDescent="0.25">
      <c r="B11" s="6"/>
      <c r="C11" s="5" t="s">
        <v>518</v>
      </c>
      <c r="D11" s="55" t="s">
        <v>51</v>
      </c>
      <c r="E11" s="55">
        <v>3</v>
      </c>
    </row>
    <row r="12" spans="1:5" ht="36.75" customHeight="1" x14ac:dyDescent="0.25">
      <c r="B12" s="6"/>
      <c r="C12" s="5" t="s">
        <v>519</v>
      </c>
      <c r="D12" s="55" t="s">
        <v>51</v>
      </c>
      <c r="E12" s="55">
        <v>3</v>
      </c>
    </row>
    <row r="13" spans="1:5" ht="35.25" customHeight="1" x14ac:dyDescent="0.25">
      <c r="B13" s="6"/>
      <c r="C13" s="13" t="s">
        <v>520</v>
      </c>
      <c r="D13" s="12" t="s">
        <v>51</v>
      </c>
      <c r="E13" s="12">
        <v>3</v>
      </c>
    </row>
    <row r="14" spans="1:5" ht="29.25" customHeight="1" x14ac:dyDescent="0.25">
      <c r="B14" s="6"/>
      <c r="C14" s="5" t="s">
        <v>521</v>
      </c>
      <c r="D14" s="55" t="s">
        <v>240</v>
      </c>
      <c r="E14" s="55">
        <v>3</v>
      </c>
    </row>
    <row r="15" spans="1:5" ht="30" customHeight="1" x14ac:dyDescent="0.25">
      <c r="B15" s="6"/>
      <c r="C15" s="5" t="s">
        <v>522</v>
      </c>
      <c r="D15" s="55" t="s">
        <v>51</v>
      </c>
      <c r="E15" s="55">
        <v>6</v>
      </c>
    </row>
    <row r="16" spans="1:5" ht="25.5" customHeight="1" x14ac:dyDescent="0.25">
      <c r="B16" s="6"/>
      <c r="C16" s="5" t="s">
        <v>523</v>
      </c>
      <c r="D16" s="55" t="s">
        <v>51</v>
      </c>
      <c r="E16" s="55">
        <v>3</v>
      </c>
    </row>
    <row r="17" spans="2:5" ht="26.25" customHeight="1" x14ac:dyDescent="0.25">
      <c r="B17" s="6"/>
      <c r="C17" s="5" t="s">
        <v>524</v>
      </c>
      <c r="D17" s="55" t="s">
        <v>51</v>
      </c>
      <c r="E17" s="55">
        <v>1</v>
      </c>
    </row>
    <row r="18" spans="2:5" ht="21" customHeight="1" x14ac:dyDescent="0.25">
      <c r="B18" s="6"/>
      <c r="C18" s="5" t="s">
        <v>525</v>
      </c>
      <c r="D18" s="55" t="s">
        <v>51</v>
      </c>
      <c r="E18" s="55">
        <v>2</v>
      </c>
    </row>
    <row r="19" spans="2:5" ht="32.25" customHeight="1" x14ac:dyDescent="0.25">
      <c r="B19" s="8"/>
      <c r="C19" s="5" t="s">
        <v>526</v>
      </c>
      <c r="D19" s="55" t="s">
        <v>51</v>
      </c>
      <c r="E19" s="55">
        <v>19</v>
      </c>
    </row>
    <row r="20" spans="2:5" ht="31.5" customHeight="1" x14ac:dyDescent="0.25">
      <c r="B20" s="6"/>
      <c r="C20" s="5" t="s">
        <v>527</v>
      </c>
      <c r="D20" s="55" t="s">
        <v>51</v>
      </c>
      <c r="E20" s="55">
        <v>9</v>
      </c>
    </row>
    <row r="21" spans="2:5" ht="32.25" customHeight="1" x14ac:dyDescent="0.25">
      <c r="B21" s="6"/>
      <c r="C21" s="5" t="s">
        <v>528</v>
      </c>
      <c r="D21" s="55" t="s">
        <v>529</v>
      </c>
      <c r="E21" s="55">
        <v>12</v>
      </c>
    </row>
    <row r="22" spans="2:5" ht="26.25" customHeight="1" x14ac:dyDescent="0.25">
      <c r="B22" s="55"/>
      <c r="C22" s="55" t="s">
        <v>530</v>
      </c>
      <c r="D22" s="55"/>
      <c r="E22" s="55"/>
    </row>
    <row r="23" spans="2:5" ht="34.5" customHeight="1" x14ac:dyDescent="0.25">
      <c r="B23" s="55"/>
      <c r="C23" s="5" t="s">
        <v>531</v>
      </c>
      <c r="D23" s="55" t="s">
        <v>208</v>
      </c>
      <c r="E23" s="55">
        <f>SUM(E24:E25)</f>
        <v>970</v>
      </c>
    </row>
    <row r="24" spans="2:5" ht="21" customHeight="1" x14ac:dyDescent="0.25">
      <c r="B24" s="6"/>
      <c r="C24" s="13" t="s">
        <v>538</v>
      </c>
      <c r="D24" s="12" t="s">
        <v>208</v>
      </c>
      <c r="E24" s="12">
        <v>870</v>
      </c>
    </row>
    <row r="25" spans="2:5" ht="21" customHeight="1" x14ac:dyDescent="0.25">
      <c r="B25" s="6"/>
      <c r="C25" s="13" t="s">
        <v>532</v>
      </c>
      <c r="D25" s="12" t="s">
        <v>208</v>
      </c>
      <c r="E25" s="12">
        <v>100</v>
      </c>
    </row>
    <row r="26" spans="2:5" ht="21" customHeight="1" x14ac:dyDescent="0.25">
      <c r="B26" s="6"/>
      <c r="C26" s="55" t="s">
        <v>533</v>
      </c>
      <c r="D26" s="12"/>
      <c r="E26" s="12"/>
    </row>
    <row r="27" spans="2:5" ht="21" customHeight="1" x14ac:dyDescent="0.25">
      <c r="B27" s="6"/>
      <c r="C27" s="5" t="s">
        <v>534</v>
      </c>
      <c r="D27" s="55" t="s">
        <v>51</v>
      </c>
      <c r="E27" s="55">
        <v>8</v>
      </c>
    </row>
    <row r="28" spans="2:5" ht="21" customHeight="1" x14ac:dyDescent="0.25">
      <c r="B28" s="6"/>
      <c r="C28" s="13" t="s">
        <v>535</v>
      </c>
      <c r="D28" s="12" t="s">
        <v>536</v>
      </c>
      <c r="E28" s="12">
        <v>5</v>
      </c>
    </row>
    <row r="29" spans="2:5" ht="21" customHeight="1" x14ac:dyDescent="0.25">
      <c r="B29" s="6"/>
      <c r="C29" s="13" t="s">
        <v>537</v>
      </c>
      <c r="D29" s="12" t="s">
        <v>8</v>
      </c>
      <c r="E29" s="12">
        <v>3</v>
      </c>
    </row>
  </sheetData>
  <mergeCells count="7">
    <mergeCell ref="B1:E1"/>
    <mergeCell ref="B2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E38"/>
  <sheetViews>
    <sheetView zoomScale="85" zoomScaleNormal="85" workbookViewId="0">
      <selection activeCell="I12" sqref="I12"/>
    </sheetView>
  </sheetViews>
  <sheetFormatPr defaultColWidth="9.140625" defaultRowHeight="15" x14ac:dyDescent="0.25"/>
  <cols>
    <col min="1" max="1" width="9.140625" style="10"/>
    <col min="2" max="2" width="6" style="10" customWidth="1"/>
    <col min="3" max="3" width="56.7109375" style="10" customWidth="1"/>
    <col min="4" max="4" width="9.140625" style="10"/>
    <col min="5" max="5" width="9.85546875" style="10" customWidth="1"/>
    <col min="6" max="16384" width="9.140625" style="10"/>
  </cols>
  <sheetData>
    <row r="1" spans="1:5" s="7" customFormat="1" ht="44.25" customHeight="1" x14ac:dyDescent="0.25">
      <c r="B1" s="450" t="s">
        <v>236</v>
      </c>
      <c r="C1" s="450"/>
      <c r="D1" s="450"/>
      <c r="E1" s="450"/>
    </row>
    <row r="2" spans="1:5" s="263" customFormat="1" ht="37.5" customHeight="1" x14ac:dyDescent="0.25">
      <c r="A2" s="448"/>
      <c r="B2" s="449" t="s">
        <v>409</v>
      </c>
      <c r="C2" s="449" t="s">
        <v>410</v>
      </c>
      <c r="D2" s="449" t="s">
        <v>13</v>
      </c>
      <c r="E2" s="449" t="s">
        <v>411</v>
      </c>
    </row>
    <row r="3" spans="1:5" s="263" customFormat="1" x14ac:dyDescent="0.25">
      <c r="A3" s="448"/>
      <c r="B3" s="449"/>
      <c r="C3" s="449"/>
      <c r="D3" s="449"/>
      <c r="E3" s="449"/>
    </row>
    <row r="4" spans="1:5" s="263" customFormat="1" x14ac:dyDescent="0.25">
      <c r="B4" s="55"/>
      <c r="C4" s="55" t="s">
        <v>539</v>
      </c>
      <c r="D4" s="55"/>
      <c r="E4" s="55"/>
    </row>
    <row r="5" spans="1:5" ht="30" customHeight="1" x14ac:dyDescent="0.25">
      <c r="B5" s="55"/>
      <c r="C5" s="5" t="s">
        <v>540</v>
      </c>
      <c r="D5" s="55" t="s">
        <v>51</v>
      </c>
      <c r="E5" s="55">
        <v>1</v>
      </c>
    </row>
    <row r="6" spans="1:5" ht="26.25" customHeight="1" x14ac:dyDescent="0.25">
      <c r="B6" s="55"/>
      <c r="C6" s="13" t="s">
        <v>541</v>
      </c>
      <c r="D6" s="12" t="s">
        <v>51</v>
      </c>
      <c r="E6" s="12">
        <v>1</v>
      </c>
    </row>
    <row r="7" spans="1:5" ht="30" customHeight="1" x14ac:dyDescent="0.25">
      <c r="B7" s="8"/>
      <c r="C7" s="5" t="s">
        <v>542</v>
      </c>
      <c r="D7" s="55" t="s">
        <v>51</v>
      </c>
      <c r="E7" s="55">
        <v>1</v>
      </c>
    </row>
    <row r="8" spans="1:5" ht="27.75" customHeight="1" x14ac:dyDescent="0.25">
      <c r="B8" s="6"/>
      <c r="C8" s="5" t="s">
        <v>543</v>
      </c>
      <c r="D8" s="55" t="s">
        <v>7</v>
      </c>
      <c r="E8" s="55">
        <f>20.4+32.3+24+8.8+10.4+12+95.2+43.2+4.22</f>
        <v>250.52</v>
      </c>
    </row>
    <row r="9" spans="1:5" ht="24.75" customHeight="1" x14ac:dyDescent="0.25">
      <c r="B9" s="6"/>
      <c r="C9" s="5" t="s">
        <v>544</v>
      </c>
      <c r="D9" s="55" t="s">
        <v>51</v>
      </c>
      <c r="E9" s="55">
        <f>SUM(E10:E12)</f>
        <v>4</v>
      </c>
    </row>
    <row r="10" spans="1:5" ht="29.25" customHeight="1" x14ac:dyDescent="0.25">
      <c r="B10" s="6"/>
      <c r="C10" s="13" t="s">
        <v>545</v>
      </c>
      <c r="D10" s="12" t="s">
        <v>51</v>
      </c>
      <c r="E10" s="12">
        <v>2</v>
      </c>
    </row>
    <row r="11" spans="1:5" ht="30" customHeight="1" x14ac:dyDescent="0.25">
      <c r="B11" s="6"/>
      <c r="C11" s="13" t="s">
        <v>546</v>
      </c>
      <c r="D11" s="12" t="s">
        <v>51</v>
      </c>
      <c r="E11" s="12">
        <v>1</v>
      </c>
    </row>
    <row r="12" spans="1:5" ht="27" customHeight="1" x14ac:dyDescent="0.25">
      <c r="B12" s="6"/>
      <c r="C12" s="13" t="s">
        <v>547</v>
      </c>
      <c r="D12" s="12" t="s">
        <v>51</v>
      </c>
      <c r="E12" s="12">
        <v>1</v>
      </c>
    </row>
    <row r="13" spans="1:5" ht="24" customHeight="1" x14ac:dyDescent="0.25">
      <c r="B13" s="6"/>
      <c r="C13" s="5" t="s">
        <v>548</v>
      </c>
      <c r="D13" s="55" t="s">
        <v>7</v>
      </c>
      <c r="E13" s="55">
        <v>245</v>
      </c>
    </row>
    <row r="14" spans="1:5" ht="25.5" customHeight="1" x14ac:dyDescent="0.25">
      <c r="B14" s="6"/>
      <c r="C14" s="5" t="s">
        <v>549</v>
      </c>
      <c r="D14" s="55" t="s">
        <v>51</v>
      </c>
      <c r="E14" s="55">
        <v>1</v>
      </c>
    </row>
    <row r="15" spans="1:5" ht="25.5" customHeight="1" x14ac:dyDescent="0.25">
      <c r="B15" s="6"/>
      <c r="C15" s="55" t="s">
        <v>550</v>
      </c>
      <c r="D15" s="55"/>
      <c r="E15" s="55"/>
    </row>
    <row r="16" spans="1:5" ht="29.25" customHeight="1" x14ac:dyDescent="0.25">
      <c r="B16" s="6"/>
      <c r="C16" s="5" t="s">
        <v>551</v>
      </c>
      <c r="D16" s="55" t="s">
        <v>51</v>
      </c>
      <c r="E16" s="55">
        <v>1</v>
      </c>
    </row>
    <row r="17" spans="2:5" ht="21" customHeight="1" x14ac:dyDescent="0.25">
      <c r="B17" s="6"/>
      <c r="C17" s="5" t="s">
        <v>552</v>
      </c>
      <c r="D17" s="55" t="s">
        <v>51</v>
      </c>
      <c r="E17" s="55">
        <v>1</v>
      </c>
    </row>
    <row r="18" spans="2:5" ht="27" customHeight="1" x14ac:dyDescent="0.25">
      <c r="B18" s="8"/>
      <c r="C18" s="5" t="s">
        <v>553</v>
      </c>
      <c r="D18" s="55" t="s">
        <v>51</v>
      </c>
      <c r="E18" s="55">
        <v>1</v>
      </c>
    </row>
    <row r="19" spans="2:5" ht="31.5" customHeight="1" x14ac:dyDescent="0.25">
      <c r="B19" s="6"/>
      <c r="C19" s="13" t="s">
        <v>554</v>
      </c>
      <c r="D19" s="12" t="s">
        <v>51</v>
      </c>
      <c r="E19" s="12">
        <v>1</v>
      </c>
    </row>
    <row r="20" spans="2:5" ht="18.75" customHeight="1" x14ac:dyDescent="0.25">
      <c r="B20" s="6"/>
      <c r="C20" s="55" t="s">
        <v>555</v>
      </c>
      <c r="D20" s="55"/>
      <c r="E20" s="55"/>
    </row>
    <row r="21" spans="2:5" ht="37.5" customHeight="1" x14ac:dyDescent="0.25">
      <c r="B21" s="55"/>
      <c r="C21" s="5" t="s">
        <v>556</v>
      </c>
      <c r="D21" s="55" t="s">
        <v>51</v>
      </c>
      <c r="E21" s="55">
        <v>1</v>
      </c>
    </row>
    <row r="22" spans="2:5" ht="23.25" customHeight="1" x14ac:dyDescent="0.25">
      <c r="B22" s="55"/>
      <c r="C22" s="13" t="s">
        <v>557</v>
      </c>
      <c r="D22" s="12" t="s">
        <v>51</v>
      </c>
      <c r="E22" s="12">
        <v>2</v>
      </c>
    </row>
    <row r="23" spans="2:5" ht="23.25" customHeight="1" x14ac:dyDescent="0.25">
      <c r="B23" s="55"/>
      <c r="C23" s="13" t="s">
        <v>758</v>
      </c>
      <c r="D23" s="12" t="s">
        <v>51</v>
      </c>
      <c r="E23" s="12">
        <v>1</v>
      </c>
    </row>
    <row r="24" spans="2:5" ht="21" customHeight="1" x14ac:dyDescent="0.25">
      <c r="B24" s="6"/>
      <c r="C24" s="5" t="s">
        <v>558</v>
      </c>
      <c r="D24" s="55" t="s">
        <v>51</v>
      </c>
      <c r="E24" s="55">
        <v>1</v>
      </c>
    </row>
    <row r="25" spans="2:5" ht="21" customHeight="1" x14ac:dyDescent="0.25">
      <c r="B25" s="6"/>
      <c r="C25" s="5" t="s">
        <v>559</v>
      </c>
      <c r="D25" s="55" t="s">
        <v>51</v>
      </c>
      <c r="E25" s="55">
        <v>1</v>
      </c>
    </row>
    <row r="26" spans="2:5" ht="21" customHeight="1" x14ac:dyDescent="0.25">
      <c r="B26" s="6"/>
      <c r="C26" s="13" t="s">
        <v>554</v>
      </c>
      <c r="D26" s="12" t="s">
        <v>51</v>
      </c>
      <c r="E26" s="12">
        <v>1</v>
      </c>
    </row>
    <row r="27" spans="2:5" ht="21" customHeight="1" x14ac:dyDescent="0.25">
      <c r="B27" s="6"/>
      <c r="C27" s="13" t="s">
        <v>560</v>
      </c>
      <c r="D27" s="12" t="s">
        <v>51</v>
      </c>
      <c r="E27" s="12">
        <v>1</v>
      </c>
    </row>
    <row r="28" spans="2:5" ht="31.5" customHeight="1" x14ac:dyDescent="0.25">
      <c r="B28" s="6"/>
      <c r="C28" s="5" t="s">
        <v>561</v>
      </c>
      <c r="D28" s="55" t="s">
        <v>51</v>
      </c>
      <c r="E28" s="55">
        <v>2</v>
      </c>
    </row>
    <row r="29" spans="2:5" ht="21" customHeight="1" x14ac:dyDescent="0.25">
      <c r="B29" s="6"/>
      <c r="C29" s="55" t="s">
        <v>562</v>
      </c>
      <c r="D29" s="12"/>
      <c r="E29" s="12"/>
    </row>
    <row r="30" spans="2:5" ht="28.5" customHeight="1" x14ac:dyDescent="0.25">
      <c r="B30" s="6"/>
      <c r="C30" s="5" t="s">
        <v>563</v>
      </c>
      <c r="D30" s="272" t="s">
        <v>51</v>
      </c>
      <c r="E30" s="272">
        <v>3</v>
      </c>
    </row>
    <row r="31" spans="2:5" ht="21" customHeight="1" x14ac:dyDescent="0.25">
      <c r="B31" s="6"/>
      <c r="C31" s="5" t="s">
        <v>564</v>
      </c>
      <c r="D31" s="55" t="s">
        <v>51</v>
      </c>
      <c r="E31" s="55">
        <v>3</v>
      </c>
    </row>
    <row r="32" spans="2:5" ht="21" customHeight="1" x14ac:dyDescent="0.25">
      <c r="B32" s="6"/>
      <c r="C32" s="5" t="s">
        <v>565</v>
      </c>
      <c r="D32" s="55" t="s">
        <v>51</v>
      </c>
      <c r="E32" s="55">
        <v>3</v>
      </c>
    </row>
    <row r="33" spans="2:5" ht="21" customHeight="1" x14ac:dyDescent="0.25">
      <c r="B33" s="6"/>
      <c r="C33" s="13" t="s">
        <v>566</v>
      </c>
      <c r="D33" s="12" t="s">
        <v>51</v>
      </c>
      <c r="E33" s="12">
        <v>3</v>
      </c>
    </row>
    <row r="34" spans="2:5" ht="21" customHeight="1" x14ac:dyDescent="0.25">
      <c r="B34" s="6"/>
      <c r="C34" s="5" t="s">
        <v>543</v>
      </c>
      <c r="D34" s="55" t="s">
        <v>7</v>
      </c>
      <c r="E34" s="55">
        <f>2*(0.6+0.4)*3</f>
        <v>6</v>
      </c>
    </row>
    <row r="35" spans="2:5" ht="21" customHeight="1" x14ac:dyDescent="0.25">
      <c r="B35" s="6"/>
      <c r="C35" s="5" t="s">
        <v>544</v>
      </c>
      <c r="D35" s="55" t="s">
        <v>51</v>
      </c>
      <c r="E35" s="55">
        <v>3</v>
      </c>
    </row>
    <row r="36" spans="2:5" ht="21" customHeight="1" x14ac:dyDescent="0.25">
      <c r="B36" s="6"/>
      <c r="C36" s="13" t="s">
        <v>567</v>
      </c>
      <c r="D36" s="12" t="s">
        <v>51</v>
      </c>
      <c r="E36" s="12">
        <v>3</v>
      </c>
    </row>
    <row r="37" spans="2:5" ht="21" customHeight="1" x14ac:dyDescent="0.25">
      <c r="B37" s="6"/>
      <c r="C37" s="13" t="s">
        <v>568</v>
      </c>
      <c r="D37" s="12" t="s">
        <v>6</v>
      </c>
      <c r="E37" s="12">
        <v>33</v>
      </c>
    </row>
    <row r="38" spans="2:5" ht="21" customHeight="1" x14ac:dyDescent="0.25">
      <c r="B38" s="6"/>
      <c r="C38" s="13" t="s">
        <v>759</v>
      </c>
      <c r="D38" s="12" t="s">
        <v>51</v>
      </c>
      <c r="E38" s="12">
        <v>3</v>
      </c>
    </row>
  </sheetData>
  <mergeCells count="6">
    <mergeCell ref="B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7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fitToPage="1"/>
  </sheetPr>
  <dimension ref="A1:E43"/>
  <sheetViews>
    <sheetView zoomScale="85" zoomScaleNormal="85" workbookViewId="0">
      <selection activeCell="H9" sqref="H9"/>
    </sheetView>
  </sheetViews>
  <sheetFormatPr defaultColWidth="9.140625" defaultRowHeight="15" x14ac:dyDescent="0.25"/>
  <cols>
    <col min="1" max="1" width="9.140625" style="10"/>
    <col min="2" max="2" width="6" style="10" customWidth="1"/>
    <col min="3" max="3" width="56.7109375" style="10" customWidth="1"/>
    <col min="4" max="4" width="9.140625" style="10"/>
    <col min="5" max="5" width="9.85546875" style="10" customWidth="1"/>
    <col min="6" max="16384" width="9.140625" style="10"/>
  </cols>
  <sheetData>
    <row r="1" spans="1:5" s="7" customFormat="1" ht="18.75" customHeight="1" x14ac:dyDescent="0.25">
      <c r="B1" s="450" t="s">
        <v>236</v>
      </c>
      <c r="C1" s="450"/>
      <c r="D1" s="450"/>
      <c r="E1" s="450"/>
    </row>
    <row r="2" spans="1:5" s="7" customFormat="1" ht="71.25" customHeight="1" x14ac:dyDescent="0.25">
      <c r="B2" s="394" t="s">
        <v>569</v>
      </c>
      <c r="C2" s="394"/>
      <c r="D2" s="394"/>
      <c r="E2" s="394"/>
    </row>
    <row r="3" spans="1:5" s="263" customFormat="1" ht="37.5" customHeight="1" x14ac:dyDescent="0.25">
      <c r="A3" s="448"/>
      <c r="B3" s="449" t="s">
        <v>409</v>
      </c>
      <c r="C3" s="449" t="s">
        <v>410</v>
      </c>
      <c r="D3" s="449" t="s">
        <v>13</v>
      </c>
      <c r="E3" s="449" t="s">
        <v>411</v>
      </c>
    </row>
    <row r="4" spans="1:5" s="263" customFormat="1" x14ac:dyDescent="0.25">
      <c r="A4" s="448"/>
      <c r="B4" s="449"/>
      <c r="C4" s="449"/>
      <c r="D4" s="449"/>
      <c r="E4" s="449"/>
    </row>
    <row r="5" spans="1:5" s="263" customFormat="1" x14ac:dyDescent="0.25">
      <c r="B5" s="55"/>
      <c r="C5" s="55" t="s">
        <v>512</v>
      </c>
      <c r="D5" s="55"/>
      <c r="E5" s="55"/>
    </row>
    <row r="6" spans="1:5" ht="30" customHeight="1" x14ac:dyDescent="0.25">
      <c r="B6" s="55"/>
      <c r="C6" s="5" t="s">
        <v>570</v>
      </c>
      <c r="D6" s="55" t="s">
        <v>51</v>
      </c>
      <c r="E6" s="55">
        <v>1</v>
      </c>
    </row>
    <row r="7" spans="1:5" ht="26.25" customHeight="1" x14ac:dyDescent="0.25">
      <c r="B7" s="55"/>
      <c r="C7" s="5" t="s">
        <v>571</v>
      </c>
      <c r="D7" s="55" t="s">
        <v>51</v>
      </c>
      <c r="E7" s="55">
        <v>12</v>
      </c>
    </row>
    <row r="8" spans="1:5" ht="30" customHeight="1" x14ac:dyDescent="0.25">
      <c r="B8" s="8"/>
      <c r="C8" s="5" t="s">
        <v>572</v>
      </c>
      <c r="D8" s="55" t="s">
        <v>51</v>
      </c>
      <c r="E8" s="55">
        <v>5</v>
      </c>
    </row>
    <row r="9" spans="1:5" ht="27.75" customHeight="1" x14ac:dyDescent="0.25">
      <c r="B9" s="6"/>
      <c r="C9" s="5" t="s">
        <v>573</v>
      </c>
      <c r="D9" s="55" t="s">
        <v>51</v>
      </c>
      <c r="E9" s="55">
        <f>SUM(E10:E12)</f>
        <v>5</v>
      </c>
    </row>
    <row r="10" spans="1:5" ht="24.75" customHeight="1" x14ac:dyDescent="0.25">
      <c r="B10" s="6"/>
      <c r="C10" s="13" t="s">
        <v>574</v>
      </c>
      <c r="D10" s="12" t="s">
        <v>51</v>
      </c>
      <c r="E10" s="12">
        <v>3</v>
      </c>
    </row>
    <row r="11" spans="1:5" ht="29.25" customHeight="1" x14ac:dyDescent="0.25">
      <c r="B11" s="6"/>
      <c r="C11" s="13" t="s">
        <v>575</v>
      </c>
      <c r="D11" s="12" t="s">
        <v>51</v>
      </c>
      <c r="E11" s="12">
        <v>1</v>
      </c>
    </row>
    <row r="12" spans="1:5" ht="30" customHeight="1" x14ac:dyDescent="0.25">
      <c r="B12" s="6"/>
      <c r="C12" s="13" t="s">
        <v>576</v>
      </c>
      <c r="D12" s="12" t="s">
        <v>51</v>
      </c>
      <c r="E12" s="12">
        <v>1</v>
      </c>
    </row>
    <row r="13" spans="1:5" ht="27" customHeight="1" x14ac:dyDescent="0.25">
      <c r="B13" s="6"/>
      <c r="C13" s="5" t="s">
        <v>577</v>
      </c>
      <c r="D13" s="55" t="s">
        <v>51</v>
      </c>
      <c r="E13" s="55">
        <v>5</v>
      </c>
    </row>
    <row r="14" spans="1:5" ht="35.25" customHeight="1" x14ac:dyDescent="0.25">
      <c r="B14" s="6"/>
      <c r="C14" s="5" t="s">
        <v>578</v>
      </c>
      <c r="D14" s="55" t="s">
        <v>51</v>
      </c>
      <c r="E14" s="55">
        <v>3</v>
      </c>
    </row>
    <row r="15" spans="1:5" ht="25.5" customHeight="1" x14ac:dyDescent="0.25">
      <c r="B15" s="6"/>
      <c r="C15" s="5" t="s">
        <v>580</v>
      </c>
      <c r="D15" s="55" t="s">
        <v>51</v>
      </c>
      <c r="E15" s="55">
        <f>E16+E17</f>
        <v>200</v>
      </c>
    </row>
    <row r="16" spans="1:5" ht="25.5" customHeight="1" x14ac:dyDescent="0.25">
      <c r="B16" s="6"/>
      <c r="C16" s="13" t="s">
        <v>579</v>
      </c>
      <c r="D16" s="12" t="s">
        <v>51</v>
      </c>
      <c r="E16" s="12">
        <v>20</v>
      </c>
    </row>
    <row r="17" spans="2:5" ht="29.25" customHeight="1" x14ac:dyDescent="0.25">
      <c r="B17" s="6"/>
      <c r="C17" s="13" t="s">
        <v>581</v>
      </c>
      <c r="D17" s="12" t="s">
        <v>51</v>
      </c>
      <c r="E17" s="12">
        <v>180</v>
      </c>
    </row>
    <row r="18" spans="2:5" ht="33" customHeight="1" x14ac:dyDescent="0.25">
      <c r="B18" s="6"/>
      <c r="C18" s="5" t="s">
        <v>582</v>
      </c>
      <c r="D18" s="55" t="s">
        <v>51</v>
      </c>
      <c r="E18" s="55">
        <v>18</v>
      </c>
    </row>
    <row r="19" spans="2:5" ht="27" customHeight="1" x14ac:dyDescent="0.25">
      <c r="B19" s="8"/>
      <c r="C19" s="5" t="s">
        <v>583</v>
      </c>
      <c r="D19" s="55" t="s">
        <v>51</v>
      </c>
      <c r="E19" s="55">
        <v>49</v>
      </c>
    </row>
    <row r="20" spans="2:5" ht="24.75" customHeight="1" x14ac:dyDescent="0.25">
      <c r="B20" s="6"/>
      <c r="C20" s="5" t="s">
        <v>584</v>
      </c>
      <c r="D20" s="55" t="s">
        <v>51</v>
      </c>
      <c r="E20" s="55">
        <f>E21+E22+E23+E24</f>
        <v>51</v>
      </c>
    </row>
    <row r="21" spans="2:5" ht="27.75" customHeight="1" x14ac:dyDescent="0.25">
      <c r="B21" s="6"/>
      <c r="C21" s="13" t="s">
        <v>719</v>
      </c>
      <c r="D21" s="12" t="s">
        <v>51</v>
      </c>
      <c r="E21" s="12">
        <v>13</v>
      </c>
    </row>
    <row r="22" spans="2:5" ht="26.25" customHeight="1" x14ac:dyDescent="0.25">
      <c r="B22" s="55"/>
      <c r="C22" s="13" t="s">
        <v>585</v>
      </c>
      <c r="D22" s="12" t="s">
        <v>51</v>
      </c>
      <c r="E22" s="12">
        <v>20</v>
      </c>
    </row>
    <row r="23" spans="2:5" ht="23.25" customHeight="1" x14ac:dyDescent="0.25">
      <c r="B23" s="55"/>
      <c r="C23" s="13" t="s">
        <v>586</v>
      </c>
      <c r="D23" s="12" t="s">
        <v>51</v>
      </c>
      <c r="E23" s="12">
        <v>2</v>
      </c>
    </row>
    <row r="24" spans="2:5" ht="21" customHeight="1" x14ac:dyDescent="0.25">
      <c r="B24" s="6"/>
      <c r="C24" s="13" t="s">
        <v>587</v>
      </c>
      <c r="D24" s="12" t="s">
        <v>51</v>
      </c>
      <c r="E24" s="12">
        <v>16</v>
      </c>
    </row>
    <row r="25" spans="2:5" ht="21" customHeight="1" x14ac:dyDescent="0.25">
      <c r="B25" s="6"/>
      <c r="C25" s="55" t="s">
        <v>412</v>
      </c>
      <c r="D25" s="55"/>
      <c r="E25" s="55"/>
    </row>
    <row r="26" spans="2:5" ht="21" customHeight="1" x14ac:dyDescent="0.25">
      <c r="B26" s="6"/>
      <c r="C26" s="5" t="s">
        <v>598</v>
      </c>
      <c r="D26" s="55" t="s">
        <v>208</v>
      </c>
      <c r="E26" s="55">
        <f>SUM(E27:E30)</f>
        <v>3390</v>
      </c>
    </row>
    <row r="27" spans="2:5" ht="21" customHeight="1" x14ac:dyDescent="0.25">
      <c r="B27" s="6"/>
      <c r="C27" s="13" t="s">
        <v>588</v>
      </c>
      <c r="D27" s="12" t="s">
        <v>208</v>
      </c>
      <c r="E27" s="12">
        <v>1800</v>
      </c>
    </row>
    <row r="28" spans="2:5" ht="24.75" customHeight="1" x14ac:dyDescent="0.25">
      <c r="B28" s="6"/>
      <c r="C28" s="13" t="s">
        <v>589</v>
      </c>
      <c r="D28" s="12" t="s">
        <v>208</v>
      </c>
      <c r="E28" s="12">
        <v>360</v>
      </c>
    </row>
    <row r="29" spans="2:5" ht="21" customHeight="1" x14ac:dyDescent="0.25">
      <c r="B29" s="6"/>
      <c r="C29" s="13" t="s">
        <v>590</v>
      </c>
      <c r="D29" s="12" t="s">
        <v>208</v>
      </c>
      <c r="E29" s="12">
        <v>750</v>
      </c>
    </row>
    <row r="30" spans="2:5" ht="28.5" customHeight="1" x14ac:dyDescent="0.25">
      <c r="B30" s="6"/>
      <c r="C30" s="13" t="s">
        <v>591</v>
      </c>
      <c r="D30" s="12" t="s">
        <v>208</v>
      </c>
      <c r="E30" s="12">
        <v>480</v>
      </c>
    </row>
    <row r="31" spans="2:5" ht="21" customHeight="1" x14ac:dyDescent="0.25">
      <c r="B31" s="6"/>
      <c r="C31" s="5" t="s">
        <v>592</v>
      </c>
      <c r="D31" s="55" t="s">
        <v>208</v>
      </c>
      <c r="E31" s="55">
        <f>SUM(E32:E35)</f>
        <v>2170</v>
      </c>
    </row>
    <row r="32" spans="2:5" ht="21" customHeight="1" x14ac:dyDescent="0.25">
      <c r="B32" s="6"/>
      <c r="C32" s="13" t="s">
        <v>593</v>
      </c>
      <c r="D32" s="12" t="s">
        <v>208</v>
      </c>
      <c r="E32" s="12">
        <v>260</v>
      </c>
    </row>
    <row r="33" spans="2:5" ht="21" customHeight="1" x14ac:dyDescent="0.25">
      <c r="B33" s="6"/>
      <c r="C33" s="13" t="s">
        <v>594</v>
      </c>
      <c r="D33" s="12" t="s">
        <v>208</v>
      </c>
      <c r="E33" s="12">
        <v>50</v>
      </c>
    </row>
    <row r="34" spans="2:5" ht="21" customHeight="1" x14ac:dyDescent="0.25">
      <c r="B34" s="6"/>
      <c r="C34" s="13" t="s">
        <v>595</v>
      </c>
      <c r="D34" s="12" t="s">
        <v>51</v>
      </c>
      <c r="E34" s="12">
        <v>930</v>
      </c>
    </row>
    <row r="35" spans="2:5" ht="21" customHeight="1" x14ac:dyDescent="0.25">
      <c r="B35" s="6"/>
      <c r="C35" s="13" t="s">
        <v>596</v>
      </c>
      <c r="D35" s="12" t="s">
        <v>51</v>
      </c>
      <c r="E35" s="12">
        <v>930</v>
      </c>
    </row>
    <row r="36" spans="2:5" ht="21" customHeight="1" x14ac:dyDescent="0.25">
      <c r="B36" s="6"/>
      <c r="C36" s="13" t="s">
        <v>597</v>
      </c>
      <c r="D36" s="12" t="s">
        <v>51</v>
      </c>
      <c r="E36" s="12">
        <v>930</v>
      </c>
    </row>
    <row r="37" spans="2:5" ht="32.25" customHeight="1" x14ac:dyDescent="0.25">
      <c r="B37" s="6"/>
      <c r="C37" s="5" t="s">
        <v>599</v>
      </c>
      <c r="D37" s="55" t="s">
        <v>208</v>
      </c>
      <c r="E37" s="55">
        <v>1400</v>
      </c>
    </row>
    <row r="38" spans="2:5" ht="21" customHeight="1" x14ac:dyDescent="0.25">
      <c r="B38" s="6"/>
      <c r="C38" s="13" t="s">
        <v>600</v>
      </c>
      <c r="D38" s="12" t="s">
        <v>51</v>
      </c>
      <c r="E38" s="12">
        <v>2800</v>
      </c>
    </row>
    <row r="39" spans="2:5" ht="21" customHeight="1" x14ac:dyDescent="0.25">
      <c r="B39" s="6"/>
      <c r="C39" s="13" t="s">
        <v>596</v>
      </c>
      <c r="D39" s="12" t="s">
        <v>51</v>
      </c>
      <c r="E39" s="12">
        <v>2800</v>
      </c>
    </row>
    <row r="40" spans="2:5" ht="21" customHeight="1" x14ac:dyDescent="0.25">
      <c r="B40" s="6"/>
      <c r="C40" s="13" t="s">
        <v>601</v>
      </c>
      <c r="D40" s="12" t="s">
        <v>51</v>
      </c>
      <c r="E40" s="12">
        <v>2800</v>
      </c>
    </row>
    <row r="41" spans="2:5" ht="21" customHeight="1" x14ac:dyDescent="0.25">
      <c r="B41" s="6"/>
      <c r="C41" s="5" t="s">
        <v>602</v>
      </c>
      <c r="D41" s="55" t="s">
        <v>51</v>
      </c>
      <c r="E41" s="55">
        <f>SUM(E42:E43)</f>
        <v>66</v>
      </c>
    </row>
    <row r="42" spans="2:5" ht="21" customHeight="1" x14ac:dyDescent="0.25">
      <c r="B42" s="6"/>
      <c r="C42" s="13" t="s">
        <v>603</v>
      </c>
      <c r="D42" s="12" t="s">
        <v>51</v>
      </c>
      <c r="E42" s="12">
        <v>33</v>
      </c>
    </row>
    <row r="43" spans="2:5" ht="21" customHeight="1" x14ac:dyDescent="0.25">
      <c r="B43" s="6"/>
      <c r="C43" s="13" t="s">
        <v>604</v>
      </c>
      <c r="D43" s="12" t="s">
        <v>51</v>
      </c>
      <c r="E43" s="12">
        <v>33</v>
      </c>
    </row>
  </sheetData>
  <mergeCells count="7">
    <mergeCell ref="B1:E1"/>
    <mergeCell ref="B2:E2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  <pageSetUpPr fitToPage="1"/>
  </sheetPr>
  <dimension ref="A1:E65"/>
  <sheetViews>
    <sheetView zoomScale="70" zoomScaleNormal="70" workbookViewId="0">
      <selection activeCell="K12" sqref="K12:K13"/>
    </sheetView>
  </sheetViews>
  <sheetFormatPr defaultColWidth="9.140625" defaultRowHeight="15" x14ac:dyDescent="0.25"/>
  <cols>
    <col min="1" max="1" width="9.140625" style="10"/>
    <col min="2" max="2" width="6" style="10" customWidth="1"/>
    <col min="3" max="3" width="56.7109375" style="10" customWidth="1"/>
    <col min="4" max="4" width="9.140625" style="10"/>
    <col min="5" max="5" width="9.85546875" style="10" customWidth="1"/>
    <col min="6" max="16384" width="9.140625" style="10"/>
  </cols>
  <sheetData>
    <row r="1" spans="1:5" s="7" customFormat="1" ht="44.25" customHeight="1" x14ac:dyDescent="0.25">
      <c r="B1" s="450" t="s">
        <v>236</v>
      </c>
      <c r="C1" s="450"/>
      <c r="D1" s="450"/>
      <c r="E1" s="450"/>
    </row>
    <row r="2" spans="1:5" s="7" customFormat="1" ht="23.25" x14ac:dyDescent="0.25">
      <c r="B2" s="394" t="s">
        <v>605</v>
      </c>
      <c r="C2" s="394"/>
      <c r="D2" s="394"/>
      <c r="E2" s="394"/>
    </row>
    <row r="3" spans="1:5" s="263" customFormat="1" ht="37.5" customHeight="1" x14ac:dyDescent="0.25">
      <c r="A3" s="448"/>
      <c r="B3" s="449" t="s">
        <v>409</v>
      </c>
      <c r="C3" s="449" t="s">
        <v>410</v>
      </c>
      <c r="D3" s="449" t="s">
        <v>13</v>
      </c>
      <c r="E3" s="449" t="s">
        <v>411</v>
      </c>
    </row>
    <row r="4" spans="1:5" s="263" customFormat="1" x14ac:dyDescent="0.25">
      <c r="A4" s="448"/>
      <c r="B4" s="449"/>
      <c r="C4" s="449"/>
      <c r="D4" s="449"/>
      <c r="E4" s="449"/>
    </row>
    <row r="5" spans="1:5" s="263" customFormat="1" x14ac:dyDescent="0.25">
      <c r="B5" s="55"/>
      <c r="C5" s="55" t="s">
        <v>606</v>
      </c>
      <c r="D5" s="55"/>
      <c r="E5" s="55"/>
    </row>
    <row r="6" spans="1:5" ht="30" customHeight="1" x14ac:dyDescent="0.25">
      <c r="B6" s="55"/>
      <c r="C6" s="5" t="s">
        <v>607</v>
      </c>
      <c r="D6" s="55" t="s">
        <v>51</v>
      </c>
      <c r="E6" s="55">
        <v>1</v>
      </c>
    </row>
    <row r="7" spans="1:5" ht="26.25" customHeight="1" x14ac:dyDescent="0.25">
      <c r="B7" s="55"/>
      <c r="C7" s="5" t="s">
        <v>608</v>
      </c>
      <c r="D7" s="55" t="s">
        <v>51</v>
      </c>
      <c r="E7" s="55">
        <v>1</v>
      </c>
    </row>
    <row r="8" spans="1:5" ht="30" customHeight="1" x14ac:dyDescent="0.25">
      <c r="B8" s="8"/>
      <c r="C8" s="5" t="s">
        <v>609</v>
      </c>
      <c r="D8" s="55" t="s">
        <v>51</v>
      </c>
      <c r="E8" s="55">
        <v>1</v>
      </c>
    </row>
    <row r="9" spans="1:5" ht="27.75" customHeight="1" x14ac:dyDescent="0.25">
      <c r="B9" s="6"/>
      <c r="C9" s="5" t="s">
        <v>610</v>
      </c>
      <c r="D9" s="55" t="s">
        <v>51</v>
      </c>
      <c r="E9" s="55">
        <v>1</v>
      </c>
    </row>
    <row r="10" spans="1:5" ht="30.75" customHeight="1" x14ac:dyDescent="0.25">
      <c r="B10" s="6"/>
      <c r="C10" s="5" t="s">
        <v>611</v>
      </c>
      <c r="D10" s="55" t="s">
        <v>51</v>
      </c>
      <c r="E10" s="55">
        <v>2</v>
      </c>
    </row>
    <row r="11" spans="1:5" ht="29.25" customHeight="1" x14ac:dyDescent="0.25">
      <c r="B11" s="6"/>
      <c r="C11" s="5" t="s">
        <v>612</v>
      </c>
      <c r="D11" s="55" t="s">
        <v>51</v>
      </c>
      <c r="E11" s="55">
        <v>2</v>
      </c>
    </row>
    <row r="12" spans="1:5" ht="30" customHeight="1" x14ac:dyDescent="0.25">
      <c r="B12" s="6"/>
      <c r="C12" s="13" t="s">
        <v>613</v>
      </c>
      <c r="D12" s="12" t="s">
        <v>51</v>
      </c>
      <c r="E12" s="12">
        <v>2</v>
      </c>
    </row>
    <row r="13" spans="1:5" ht="27" customHeight="1" x14ac:dyDescent="0.25">
      <c r="B13" s="6"/>
      <c r="C13" s="5" t="s">
        <v>614</v>
      </c>
      <c r="D13" s="55" t="s">
        <v>51</v>
      </c>
      <c r="E13" s="55">
        <v>2</v>
      </c>
    </row>
    <row r="14" spans="1:5" ht="35.25" customHeight="1" x14ac:dyDescent="0.25">
      <c r="B14" s="6"/>
      <c r="C14" s="5" t="s">
        <v>615</v>
      </c>
      <c r="D14" s="55" t="s">
        <v>51</v>
      </c>
      <c r="E14" s="55">
        <v>1</v>
      </c>
    </row>
    <row r="15" spans="1:5" ht="25.5" customHeight="1" x14ac:dyDescent="0.25">
      <c r="B15" s="6"/>
      <c r="C15" s="5" t="s">
        <v>616</v>
      </c>
      <c r="D15" s="55" t="s">
        <v>51</v>
      </c>
      <c r="E15" s="55">
        <v>1</v>
      </c>
    </row>
    <row r="16" spans="1:5" ht="25.5" customHeight="1" x14ac:dyDescent="0.25">
      <c r="B16" s="6"/>
      <c r="C16" s="5" t="s">
        <v>617</v>
      </c>
      <c r="D16" s="55" t="s">
        <v>51</v>
      </c>
      <c r="E16" s="55">
        <v>1</v>
      </c>
    </row>
    <row r="17" spans="2:5" ht="29.25" customHeight="1" x14ac:dyDescent="0.25">
      <c r="B17" s="6"/>
      <c r="C17" s="13" t="s">
        <v>618</v>
      </c>
      <c r="D17" s="12" t="s">
        <v>51</v>
      </c>
      <c r="E17" s="12">
        <v>1</v>
      </c>
    </row>
    <row r="18" spans="2:5" ht="33" customHeight="1" x14ac:dyDescent="0.25">
      <c r="B18" s="6"/>
      <c r="C18" s="13" t="s">
        <v>619</v>
      </c>
      <c r="D18" s="12" t="s">
        <v>51</v>
      </c>
      <c r="E18" s="12">
        <v>6</v>
      </c>
    </row>
    <row r="19" spans="2:5" ht="27" customHeight="1" x14ac:dyDescent="0.25">
      <c r="B19" s="8"/>
      <c r="C19" s="13" t="s">
        <v>620</v>
      </c>
      <c r="D19" s="12" t="s">
        <v>51</v>
      </c>
      <c r="E19" s="12">
        <v>1</v>
      </c>
    </row>
    <row r="20" spans="2:5" ht="24.75" customHeight="1" x14ac:dyDescent="0.25">
      <c r="B20" s="6"/>
      <c r="C20" s="5" t="s">
        <v>621</v>
      </c>
      <c r="D20" s="55" t="s">
        <v>51</v>
      </c>
      <c r="E20" s="55">
        <v>1</v>
      </c>
    </row>
    <row r="21" spans="2:5" ht="27.75" customHeight="1" x14ac:dyDescent="0.25">
      <c r="B21" s="6"/>
      <c r="C21" s="5" t="s">
        <v>622</v>
      </c>
      <c r="D21" s="55" t="s">
        <v>208</v>
      </c>
      <c r="E21" s="55">
        <f>SUM(E22:E23)</f>
        <v>501</v>
      </c>
    </row>
    <row r="22" spans="2:5" ht="26.25" customHeight="1" x14ac:dyDescent="0.25">
      <c r="B22" s="55"/>
      <c r="C22" s="13" t="s">
        <v>623</v>
      </c>
      <c r="D22" s="12" t="s">
        <v>208</v>
      </c>
      <c r="E22" s="12">
        <f>17*3</f>
        <v>51</v>
      </c>
    </row>
    <row r="23" spans="2:5" ht="23.25" customHeight="1" x14ac:dyDescent="0.25">
      <c r="B23" s="55"/>
      <c r="C23" s="13" t="s">
        <v>625</v>
      </c>
      <c r="D23" s="12" t="s">
        <v>208</v>
      </c>
      <c r="E23" s="12">
        <v>450</v>
      </c>
    </row>
    <row r="24" spans="2:5" ht="21" customHeight="1" x14ac:dyDescent="0.25">
      <c r="B24" s="6"/>
      <c r="C24" s="5" t="s">
        <v>624</v>
      </c>
      <c r="D24" s="55" t="s">
        <v>208</v>
      </c>
      <c r="E24" s="55">
        <v>450</v>
      </c>
    </row>
    <row r="25" spans="2:5" ht="21" customHeight="1" x14ac:dyDescent="0.25">
      <c r="B25" s="6"/>
      <c r="C25" s="5" t="s">
        <v>626</v>
      </c>
      <c r="D25" s="55" t="s">
        <v>208</v>
      </c>
      <c r="E25" s="55">
        <v>5</v>
      </c>
    </row>
    <row r="26" spans="2:5" ht="21" customHeight="1" x14ac:dyDescent="0.25">
      <c r="B26" s="6"/>
      <c r="C26" s="13" t="s">
        <v>627</v>
      </c>
      <c r="D26" s="12" t="s">
        <v>51</v>
      </c>
      <c r="E26" s="12">
        <v>22</v>
      </c>
    </row>
    <row r="27" spans="2:5" ht="21" customHeight="1" x14ac:dyDescent="0.25">
      <c r="B27" s="6"/>
      <c r="C27" s="13" t="s">
        <v>628</v>
      </c>
      <c r="D27" s="12" t="s">
        <v>629</v>
      </c>
      <c r="E27" s="12">
        <v>1</v>
      </c>
    </row>
    <row r="28" spans="2:5" ht="24.75" customHeight="1" x14ac:dyDescent="0.25">
      <c r="B28" s="6"/>
      <c r="C28" s="13" t="s">
        <v>630</v>
      </c>
      <c r="D28" s="12" t="s">
        <v>51</v>
      </c>
      <c r="E28" s="12">
        <v>6</v>
      </c>
    </row>
    <row r="29" spans="2:5" ht="21" customHeight="1" x14ac:dyDescent="0.25">
      <c r="B29" s="6"/>
      <c r="C29" s="13" t="s">
        <v>631</v>
      </c>
      <c r="D29" s="12" t="s">
        <v>51</v>
      </c>
      <c r="E29" s="12">
        <v>2</v>
      </c>
    </row>
    <row r="30" spans="2:5" ht="24" customHeight="1" x14ac:dyDescent="0.25">
      <c r="B30" s="6"/>
      <c r="C30" s="13" t="s">
        <v>632</v>
      </c>
      <c r="D30" s="12" t="s">
        <v>51</v>
      </c>
      <c r="E30" s="12">
        <v>6</v>
      </c>
    </row>
    <row r="31" spans="2:5" ht="21" customHeight="1" x14ac:dyDescent="0.25">
      <c r="B31" s="6"/>
      <c r="C31" s="24" t="s">
        <v>633</v>
      </c>
      <c r="D31" s="12" t="s">
        <v>51</v>
      </c>
      <c r="E31" s="12">
        <v>2</v>
      </c>
    </row>
    <row r="32" spans="2:5" ht="21" customHeight="1" x14ac:dyDescent="0.25">
      <c r="B32" s="6"/>
      <c r="C32" s="5" t="s">
        <v>634</v>
      </c>
      <c r="D32" s="55" t="s">
        <v>51</v>
      </c>
      <c r="E32" s="55">
        <v>2</v>
      </c>
    </row>
    <row r="33" spans="2:5" ht="21" customHeight="1" x14ac:dyDescent="0.25">
      <c r="B33" s="6"/>
      <c r="C33" s="55" t="s">
        <v>635</v>
      </c>
      <c r="D33" s="12"/>
      <c r="E33" s="12"/>
    </row>
    <row r="34" spans="2:5" ht="21" customHeight="1" x14ac:dyDescent="0.25">
      <c r="B34" s="6"/>
      <c r="C34" s="5" t="s">
        <v>636</v>
      </c>
      <c r="D34" s="55" t="s">
        <v>51</v>
      </c>
      <c r="E34" s="55">
        <v>2</v>
      </c>
    </row>
    <row r="35" spans="2:5" ht="21" customHeight="1" x14ac:dyDescent="0.25">
      <c r="B35" s="6"/>
      <c r="C35" s="5" t="s">
        <v>637</v>
      </c>
      <c r="D35" s="55" t="s">
        <v>51</v>
      </c>
      <c r="E35" s="55">
        <v>4</v>
      </c>
    </row>
    <row r="36" spans="2:5" ht="21" customHeight="1" x14ac:dyDescent="0.25">
      <c r="B36" s="6"/>
      <c r="C36" s="13" t="s">
        <v>638</v>
      </c>
      <c r="D36" s="12" t="s">
        <v>51</v>
      </c>
      <c r="E36" s="12">
        <v>2</v>
      </c>
    </row>
    <row r="37" spans="2:5" ht="32.25" customHeight="1" x14ac:dyDescent="0.25">
      <c r="B37" s="6"/>
      <c r="C37" s="5" t="s">
        <v>639</v>
      </c>
      <c r="D37" s="55" t="s">
        <v>51</v>
      </c>
      <c r="E37" s="55">
        <v>2</v>
      </c>
    </row>
    <row r="38" spans="2:5" ht="30" customHeight="1" x14ac:dyDescent="0.25">
      <c r="B38" s="6"/>
      <c r="C38" s="13" t="s">
        <v>640</v>
      </c>
      <c r="D38" s="12" t="s">
        <v>51</v>
      </c>
      <c r="E38" s="12">
        <v>4</v>
      </c>
    </row>
    <row r="39" spans="2:5" ht="21" customHeight="1" x14ac:dyDescent="0.25">
      <c r="B39" s="6"/>
      <c r="C39" s="55" t="s">
        <v>641</v>
      </c>
      <c r="D39" s="12"/>
      <c r="E39" s="12"/>
    </row>
    <row r="40" spans="2:5" ht="151.5" customHeight="1" x14ac:dyDescent="0.25">
      <c r="B40" s="6"/>
      <c r="C40" s="5" t="s">
        <v>642</v>
      </c>
      <c r="D40" s="55" t="s">
        <v>51</v>
      </c>
      <c r="E40" s="55">
        <v>1</v>
      </c>
    </row>
    <row r="41" spans="2:5" ht="21" customHeight="1" x14ac:dyDescent="0.25">
      <c r="B41" s="6"/>
      <c r="C41" s="5" t="s">
        <v>643</v>
      </c>
      <c r="D41" s="55" t="s">
        <v>208</v>
      </c>
      <c r="E41" s="55">
        <f>120+5</f>
        <v>125</v>
      </c>
    </row>
    <row r="42" spans="2:5" ht="21" customHeight="1" x14ac:dyDescent="0.25">
      <c r="B42" s="6"/>
      <c r="C42" s="13" t="s">
        <v>644</v>
      </c>
      <c r="D42" s="12" t="s">
        <v>208</v>
      </c>
      <c r="E42" s="12">
        <v>120</v>
      </c>
    </row>
    <row r="43" spans="2:5" ht="21" customHeight="1" x14ac:dyDescent="0.25">
      <c r="B43" s="6"/>
      <c r="C43" s="13" t="s">
        <v>645</v>
      </c>
      <c r="D43" s="12" t="s">
        <v>208</v>
      </c>
      <c r="E43" s="12">
        <v>5</v>
      </c>
    </row>
    <row r="44" spans="2:5" ht="21" customHeight="1" x14ac:dyDescent="0.25">
      <c r="B44" s="6"/>
      <c r="C44" s="5" t="s">
        <v>646</v>
      </c>
      <c r="D44" s="55" t="s">
        <v>208</v>
      </c>
      <c r="E44" s="55">
        <v>120</v>
      </c>
    </row>
    <row r="45" spans="2:5" ht="21" customHeight="1" x14ac:dyDescent="0.25">
      <c r="B45" s="6"/>
      <c r="C45" s="5" t="s">
        <v>647</v>
      </c>
      <c r="D45" s="55" t="s">
        <v>208</v>
      </c>
      <c r="E45" s="55">
        <v>3</v>
      </c>
    </row>
    <row r="46" spans="2:5" ht="21" customHeight="1" x14ac:dyDescent="0.25">
      <c r="B46" s="6"/>
      <c r="C46" s="13" t="s">
        <v>648</v>
      </c>
      <c r="D46" s="12" t="s">
        <v>51</v>
      </c>
      <c r="E46" s="12">
        <v>2</v>
      </c>
    </row>
    <row r="47" spans="2:5" ht="21" customHeight="1" x14ac:dyDescent="0.25">
      <c r="B47" s="6"/>
      <c r="C47" s="55" t="s">
        <v>649</v>
      </c>
      <c r="D47" s="12"/>
      <c r="E47" s="12"/>
    </row>
    <row r="48" spans="2:5" ht="27.75" customHeight="1" x14ac:dyDescent="0.25">
      <c r="B48" s="6"/>
      <c r="C48" s="5" t="s">
        <v>650</v>
      </c>
      <c r="D48" s="55" t="s">
        <v>51</v>
      </c>
      <c r="E48" s="55">
        <v>1</v>
      </c>
    </row>
    <row r="49" spans="2:5" ht="21" customHeight="1" x14ac:dyDescent="0.25">
      <c r="B49" s="6"/>
      <c r="C49" s="5" t="s">
        <v>651</v>
      </c>
      <c r="D49" s="55" t="s">
        <v>51</v>
      </c>
      <c r="E49" s="55">
        <v>1</v>
      </c>
    </row>
    <row r="50" spans="2:5" ht="21" customHeight="1" x14ac:dyDescent="0.25">
      <c r="B50" s="6"/>
      <c r="C50" s="5" t="s">
        <v>652</v>
      </c>
      <c r="D50" s="55" t="s">
        <v>51</v>
      </c>
      <c r="E50" s="55">
        <f>12+3</f>
        <v>15</v>
      </c>
    </row>
    <row r="51" spans="2:5" ht="30" customHeight="1" x14ac:dyDescent="0.25">
      <c r="B51" s="6"/>
      <c r="C51" s="13" t="s">
        <v>653</v>
      </c>
      <c r="D51" s="12" t="s">
        <v>51</v>
      </c>
      <c r="E51" s="12">
        <v>12</v>
      </c>
    </row>
    <row r="52" spans="2:5" ht="32.25" customHeight="1" x14ac:dyDescent="0.25">
      <c r="B52" s="6"/>
      <c r="C52" s="13" t="s">
        <v>654</v>
      </c>
      <c r="D52" s="12" t="s">
        <v>51</v>
      </c>
      <c r="E52" s="12">
        <v>3</v>
      </c>
    </row>
    <row r="53" spans="2:5" ht="30.75" customHeight="1" x14ac:dyDescent="0.25">
      <c r="B53" s="6"/>
      <c r="C53" s="5" t="s">
        <v>655</v>
      </c>
      <c r="D53" s="55" t="s">
        <v>51</v>
      </c>
      <c r="E53" s="55">
        <f>12+3</f>
        <v>15</v>
      </c>
    </row>
    <row r="54" spans="2:5" ht="27.75" customHeight="1" x14ac:dyDescent="0.25">
      <c r="B54" s="6"/>
      <c r="C54" s="13" t="s">
        <v>628</v>
      </c>
      <c r="D54" s="12" t="s">
        <v>629</v>
      </c>
      <c r="E54" s="12">
        <v>1</v>
      </c>
    </row>
    <row r="55" spans="2:5" ht="21" customHeight="1" x14ac:dyDescent="0.25">
      <c r="B55" s="6"/>
      <c r="C55" s="5" t="s">
        <v>643</v>
      </c>
      <c r="D55" s="55" t="s">
        <v>208</v>
      </c>
      <c r="E55" s="55">
        <f>750+10</f>
        <v>760</v>
      </c>
    </row>
    <row r="56" spans="2:5" ht="31.5" customHeight="1" x14ac:dyDescent="0.25">
      <c r="B56" s="6"/>
      <c r="C56" s="13" t="s">
        <v>656</v>
      </c>
      <c r="D56" s="12" t="s">
        <v>208</v>
      </c>
      <c r="E56" s="12">
        <v>750</v>
      </c>
    </row>
    <row r="57" spans="2:5" ht="21" customHeight="1" x14ac:dyDescent="0.25">
      <c r="B57" s="6"/>
      <c r="C57" s="13" t="s">
        <v>657</v>
      </c>
      <c r="D57" s="12" t="s">
        <v>208</v>
      </c>
      <c r="E57" s="12">
        <v>10</v>
      </c>
    </row>
    <row r="58" spans="2:5" ht="21" customHeight="1" x14ac:dyDescent="0.25">
      <c r="B58" s="6"/>
      <c r="C58" s="5" t="s">
        <v>658</v>
      </c>
      <c r="D58" s="55" t="s">
        <v>208</v>
      </c>
      <c r="E58" s="55">
        <v>750</v>
      </c>
    </row>
    <row r="59" spans="2:5" ht="21" customHeight="1" x14ac:dyDescent="0.25">
      <c r="B59" s="6"/>
      <c r="C59" s="13" t="s">
        <v>659</v>
      </c>
      <c r="D59" s="12" t="s">
        <v>6</v>
      </c>
      <c r="E59" s="12">
        <v>1</v>
      </c>
    </row>
    <row r="60" spans="2:5" ht="21" customHeight="1" x14ac:dyDescent="0.25">
      <c r="B60" s="6"/>
      <c r="C60" s="5" t="s">
        <v>647</v>
      </c>
      <c r="D60" s="55" t="s">
        <v>208</v>
      </c>
      <c r="E60" s="55">
        <v>3</v>
      </c>
    </row>
    <row r="61" spans="2:5" ht="21" customHeight="1" x14ac:dyDescent="0.25">
      <c r="B61" s="6"/>
      <c r="C61" s="13" t="s">
        <v>648</v>
      </c>
      <c r="D61" s="12" t="s">
        <v>51</v>
      </c>
      <c r="E61" s="12">
        <v>2</v>
      </c>
    </row>
    <row r="62" spans="2:5" ht="21" customHeight="1" x14ac:dyDescent="0.25">
      <c r="B62" s="6"/>
      <c r="C62" s="55" t="s">
        <v>660</v>
      </c>
      <c r="D62" s="12"/>
      <c r="E62" s="12"/>
    </row>
    <row r="63" spans="2:5" ht="27.75" customHeight="1" x14ac:dyDescent="0.25">
      <c r="B63" s="6"/>
      <c r="C63" s="5" t="s">
        <v>661</v>
      </c>
      <c r="D63" s="55" t="s">
        <v>51</v>
      </c>
      <c r="E63" s="55">
        <v>1</v>
      </c>
    </row>
    <row r="64" spans="2:5" ht="21" customHeight="1" x14ac:dyDescent="0.25">
      <c r="B64" s="6"/>
      <c r="C64" s="5" t="s">
        <v>662</v>
      </c>
      <c r="D64" s="55" t="s">
        <v>51</v>
      </c>
      <c r="E64" s="55">
        <v>2</v>
      </c>
    </row>
    <row r="65" spans="2:5" ht="29.25" customHeight="1" x14ac:dyDescent="0.25">
      <c r="B65" s="6"/>
      <c r="C65" s="5" t="s">
        <v>663</v>
      </c>
      <c r="D65" s="55" t="s">
        <v>208</v>
      </c>
      <c r="E65" s="55">
        <v>50</v>
      </c>
    </row>
  </sheetData>
  <mergeCells count="7">
    <mergeCell ref="B2:E2"/>
    <mergeCell ref="B1:E1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F9"/>
  <sheetViews>
    <sheetView tabSelected="1" zoomScale="85" zoomScaleNormal="85" workbookViewId="0">
      <pane ySplit="4" topLeftCell="A5" activePane="bottomLeft" state="frozen"/>
      <selection pane="bottomLeft" activeCell="D20" sqref="D20"/>
    </sheetView>
  </sheetViews>
  <sheetFormatPr defaultRowHeight="15.75" x14ac:dyDescent="0.25"/>
  <cols>
    <col min="1" max="1" width="3.140625" style="58" customWidth="1"/>
    <col min="2" max="2" width="6.140625" style="58" customWidth="1"/>
    <col min="3" max="3" width="10.28515625" style="58" customWidth="1"/>
    <col min="4" max="4" width="38.28515625" style="58" customWidth="1"/>
    <col min="5" max="5" width="13.140625" style="58" customWidth="1"/>
    <col min="6" max="6" width="15.85546875" style="64" customWidth="1"/>
    <col min="7" max="7" width="22.28515625" style="58" customWidth="1"/>
    <col min="8" max="8" width="9.140625" style="58"/>
    <col min="9" max="9" width="28.140625" style="58" customWidth="1"/>
    <col min="10" max="232" width="9.140625" style="58"/>
    <col min="233" max="233" width="3.140625" style="58" customWidth="1"/>
    <col min="234" max="234" width="6.140625" style="58" customWidth="1"/>
    <col min="235" max="235" width="10.28515625" style="58" customWidth="1"/>
    <col min="236" max="236" width="34.140625" style="58" customWidth="1"/>
    <col min="237" max="237" width="9.28515625" style="58" customWidth="1"/>
    <col min="238" max="239" width="12.140625" style="58" customWidth="1"/>
    <col min="240" max="250" width="9.85546875" style="58" customWidth="1"/>
    <col min="251" max="251" width="11.5703125" style="58" customWidth="1"/>
    <col min="252" max="252" width="12.7109375" style="58" customWidth="1"/>
    <col min="253" max="253" width="9.140625" style="58"/>
    <col min="254" max="254" width="11.42578125" style="58" bestFit="1" customWidth="1"/>
    <col min="255" max="488" width="9.140625" style="58"/>
    <col min="489" max="489" width="3.140625" style="58" customWidth="1"/>
    <col min="490" max="490" width="6.140625" style="58" customWidth="1"/>
    <col min="491" max="491" width="10.28515625" style="58" customWidth="1"/>
    <col min="492" max="492" width="34.140625" style="58" customWidth="1"/>
    <col min="493" max="493" width="9.28515625" style="58" customWidth="1"/>
    <col min="494" max="495" width="12.140625" style="58" customWidth="1"/>
    <col min="496" max="506" width="9.85546875" style="58" customWidth="1"/>
    <col min="507" max="507" width="11.5703125" style="58" customWidth="1"/>
    <col min="508" max="508" width="12.7109375" style="58" customWidth="1"/>
    <col min="509" max="509" width="9.140625" style="58"/>
    <col min="510" max="510" width="11.42578125" style="58" bestFit="1" customWidth="1"/>
    <col min="511" max="744" width="9.140625" style="58"/>
    <col min="745" max="745" width="3.140625" style="58" customWidth="1"/>
    <col min="746" max="746" width="6.140625" style="58" customWidth="1"/>
    <col min="747" max="747" width="10.28515625" style="58" customWidth="1"/>
    <col min="748" max="748" width="34.140625" style="58" customWidth="1"/>
    <col min="749" max="749" width="9.28515625" style="58" customWidth="1"/>
    <col min="750" max="751" width="12.140625" style="58" customWidth="1"/>
    <col min="752" max="762" width="9.85546875" style="58" customWidth="1"/>
    <col min="763" max="763" width="11.5703125" style="58" customWidth="1"/>
    <col min="764" max="764" width="12.7109375" style="58" customWidth="1"/>
    <col min="765" max="765" width="9.140625" style="58"/>
    <col min="766" max="766" width="11.42578125" style="58" bestFit="1" customWidth="1"/>
    <col min="767" max="1000" width="9.140625" style="58"/>
    <col min="1001" max="1001" width="3.140625" style="58" customWidth="1"/>
    <col min="1002" max="1002" width="6.140625" style="58" customWidth="1"/>
    <col min="1003" max="1003" width="10.28515625" style="58" customWidth="1"/>
    <col min="1004" max="1004" width="34.140625" style="58" customWidth="1"/>
    <col min="1005" max="1005" width="9.28515625" style="58" customWidth="1"/>
    <col min="1006" max="1007" width="12.140625" style="58" customWidth="1"/>
    <col min="1008" max="1018" width="9.85546875" style="58" customWidth="1"/>
    <col min="1019" max="1019" width="11.5703125" style="58" customWidth="1"/>
    <col min="1020" max="1020" width="12.7109375" style="58" customWidth="1"/>
    <col min="1021" max="1021" width="9.140625" style="58"/>
    <col min="1022" max="1022" width="11.42578125" style="58" bestFit="1" customWidth="1"/>
    <col min="1023" max="1256" width="9.140625" style="58"/>
    <col min="1257" max="1257" width="3.140625" style="58" customWidth="1"/>
    <col min="1258" max="1258" width="6.140625" style="58" customWidth="1"/>
    <col min="1259" max="1259" width="10.28515625" style="58" customWidth="1"/>
    <col min="1260" max="1260" width="34.140625" style="58" customWidth="1"/>
    <col min="1261" max="1261" width="9.28515625" style="58" customWidth="1"/>
    <col min="1262" max="1263" width="12.140625" style="58" customWidth="1"/>
    <col min="1264" max="1274" width="9.85546875" style="58" customWidth="1"/>
    <col min="1275" max="1275" width="11.5703125" style="58" customWidth="1"/>
    <col min="1276" max="1276" width="12.7109375" style="58" customWidth="1"/>
    <col min="1277" max="1277" width="9.140625" style="58"/>
    <col min="1278" max="1278" width="11.42578125" style="58" bestFit="1" customWidth="1"/>
    <col min="1279" max="1512" width="9.140625" style="58"/>
    <col min="1513" max="1513" width="3.140625" style="58" customWidth="1"/>
    <col min="1514" max="1514" width="6.140625" style="58" customWidth="1"/>
    <col min="1515" max="1515" width="10.28515625" style="58" customWidth="1"/>
    <col min="1516" max="1516" width="34.140625" style="58" customWidth="1"/>
    <col min="1517" max="1517" width="9.28515625" style="58" customWidth="1"/>
    <col min="1518" max="1519" width="12.140625" style="58" customWidth="1"/>
    <col min="1520" max="1530" width="9.85546875" style="58" customWidth="1"/>
    <col min="1531" max="1531" width="11.5703125" style="58" customWidth="1"/>
    <col min="1532" max="1532" width="12.7109375" style="58" customWidth="1"/>
    <col min="1533" max="1533" width="9.140625" style="58"/>
    <col min="1534" max="1534" width="11.42578125" style="58" bestFit="1" customWidth="1"/>
    <col min="1535" max="1768" width="9.140625" style="58"/>
    <col min="1769" max="1769" width="3.140625" style="58" customWidth="1"/>
    <col min="1770" max="1770" width="6.140625" style="58" customWidth="1"/>
    <col min="1771" max="1771" width="10.28515625" style="58" customWidth="1"/>
    <col min="1772" max="1772" width="34.140625" style="58" customWidth="1"/>
    <col min="1773" max="1773" width="9.28515625" style="58" customWidth="1"/>
    <col min="1774" max="1775" width="12.140625" style="58" customWidth="1"/>
    <col min="1776" max="1786" width="9.85546875" style="58" customWidth="1"/>
    <col min="1787" max="1787" width="11.5703125" style="58" customWidth="1"/>
    <col min="1788" max="1788" width="12.7109375" style="58" customWidth="1"/>
    <col min="1789" max="1789" width="9.140625" style="58"/>
    <col min="1790" max="1790" width="11.42578125" style="58" bestFit="1" customWidth="1"/>
    <col min="1791" max="2024" width="9.140625" style="58"/>
    <col min="2025" max="2025" width="3.140625" style="58" customWidth="1"/>
    <col min="2026" max="2026" width="6.140625" style="58" customWidth="1"/>
    <col min="2027" max="2027" width="10.28515625" style="58" customWidth="1"/>
    <col min="2028" max="2028" width="34.140625" style="58" customWidth="1"/>
    <col min="2029" max="2029" width="9.28515625" style="58" customWidth="1"/>
    <col min="2030" max="2031" width="12.140625" style="58" customWidth="1"/>
    <col min="2032" max="2042" width="9.85546875" style="58" customWidth="1"/>
    <col min="2043" max="2043" width="11.5703125" style="58" customWidth="1"/>
    <col min="2044" max="2044" width="12.7109375" style="58" customWidth="1"/>
    <col min="2045" max="2045" width="9.140625" style="58"/>
    <col min="2046" max="2046" width="11.42578125" style="58" bestFit="1" customWidth="1"/>
    <col min="2047" max="2280" width="9.140625" style="58"/>
    <col min="2281" max="2281" width="3.140625" style="58" customWidth="1"/>
    <col min="2282" max="2282" width="6.140625" style="58" customWidth="1"/>
    <col min="2283" max="2283" width="10.28515625" style="58" customWidth="1"/>
    <col min="2284" max="2284" width="34.140625" style="58" customWidth="1"/>
    <col min="2285" max="2285" width="9.28515625" style="58" customWidth="1"/>
    <col min="2286" max="2287" width="12.140625" style="58" customWidth="1"/>
    <col min="2288" max="2298" width="9.85546875" style="58" customWidth="1"/>
    <col min="2299" max="2299" width="11.5703125" style="58" customWidth="1"/>
    <col min="2300" max="2300" width="12.7109375" style="58" customWidth="1"/>
    <col min="2301" max="2301" width="9.140625" style="58"/>
    <col min="2302" max="2302" width="11.42578125" style="58" bestFit="1" customWidth="1"/>
    <col min="2303" max="2536" width="9.140625" style="58"/>
    <col min="2537" max="2537" width="3.140625" style="58" customWidth="1"/>
    <col min="2538" max="2538" width="6.140625" style="58" customWidth="1"/>
    <col min="2539" max="2539" width="10.28515625" style="58" customWidth="1"/>
    <col min="2540" max="2540" width="34.140625" style="58" customWidth="1"/>
    <col min="2541" max="2541" width="9.28515625" style="58" customWidth="1"/>
    <col min="2542" max="2543" width="12.140625" style="58" customWidth="1"/>
    <col min="2544" max="2554" width="9.85546875" style="58" customWidth="1"/>
    <col min="2555" max="2555" width="11.5703125" style="58" customWidth="1"/>
    <col min="2556" max="2556" width="12.7109375" style="58" customWidth="1"/>
    <col min="2557" max="2557" width="9.140625" style="58"/>
    <col min="2558" max="2558" width="11.42578125" style="58" bestFit="1" customWidth="1"/>
    <col min="2559" max="2792" width="9.140625" style="58"/>
    <col min="2793" max="2793" width="3.140625" style="58" customWidth="1"/>
    <col min="2794" max="2794" width="6.140625" style="58" customWidth="1"/>
    <col min="2795" max="2795" width="10.28515625" style="58" customWidth="1"/>
    <col min="2796" max="2796" width="34.140625" style="58" customWidth="1"/>
    <col min="2797" max="2797" width="9.28515625" style="58" customWidth="1"/>
    <col min="2798" max="2799" width="12.140625" style="58" customWidth="1"/>
    <col min="2800" max="2810" width="9.85546875" style="58" customWidth="1"/>
    <col min="2811" max="2811" width="11.5703125" style="58" customWidth="1"/>
    <col min="2812" max="2812" width="12.7109375" style="58" customWidth="1"/>
    <col min="2813" max="2813" width="9.140625" style="58"/>
    <col min="2814" max="2814" width="11.42578125" style="58" bestFit="1" customWidth="1"/>
    <col min="2815" max="3048" width="9.140625" style="58"/>
    <col min="3049" max="3049" width="3.140625" style="58" customWidth="1"/>
    <col min="3050" max="3050" width="6.140625" style="58" customWidth="1"/>
    <col min="3051" max="3051" width="10.28515625" style="58" customWidth="1"/>
    <col min="3052" max="3052" width="34.140625" style="58" customWidth="1"/>
    <col min="3053" max="3053" width="9.28515625" style="58" customWidth="1"/>
    <col min="3054" max="3055" width="12.140625" style="58" customWidth="1"/>
    <col min="3056" max="3066" width="9.85546875" style="58" customWidth="1"/>
    <col min="3067" max="3067" width="11.5703125" style="58" customWidth="1"/>
    <col min="3068" max="3068" width="12.7109375" style="58" customWidth="1"/>
    <col min="3069" max="3069" width="9.140625" style="58"/>
    <col min="3070" max="3070" width="11.42578125" style="58" bestFit="1" customWidth="1"/>
    <col min="3071" max="3304" width="9.140625" style="58"/>
    <col min="3305" max="3305" width="3.140625" style="58" customWidth="1"/>
    <col min="3306" max="3306" width="6.140625" style="58" customWidth="1"/>
    <col min="3307" max="3307" width="10.28515625" style="58" customWidth="1"/>
    <col min="3308" max="3308" width="34.140625" style="58" customWidth="1"/>
    <col min="3309" max="3309" width="9.28515625" style="58" customWidth="1"/>
    <col min="3310" max="3311" width="12.140625" style="58" customWidth="1"/>
    <col min="3312" max="3322" width="9.85546875" style="58" customWidth="1"/>
    <col min="3323" max="3323" width="11.5703125" style="58" customWidth="1"/>
    <col min="3324" max="3324" width="12.7109375" style="58" customWidth="1"/>
    <col min="3325" max="3325" width="9.140625" style="58"/>
    <col min="3326" max="3326" width="11.42578125" style="58" bestFit="1" customWidth="1"/>
    <col min="3327" max="3560" width="9.140625" style="58"/>
    <col min="3561" max="3561" width="3.140625" style="58" customWidth="1"/>
    <col min="3562" max="3562" width="6.140625" style="58" customWidth="1"/>
    <col min="3563" max="3563" width="10.28515625" style="58" customWidth="1"/>
    <col min="3564" max="3564" width="34.140625" style="58" customWidth="1"/>
    <col min="3565" max="3565" width="9.28515625" style="58" customWidth="1"/>
    <col min="3566" max="3567" width="12.140625" style="58" customWidth="1"/>
    <col min="3568" max="3578" width="9.85546875" style="58" customWidth="1"/>
    <col min="3579" max="3579" width="11.5703125" style="58" customWidth="1"/>
    <col min="3580" max="3580" width="12.7109375" style="58" customWidth="1"/>
    <col min="3581" max="3581" width="9.140625" style="58"/>
    <col min="3582" max="3582" width="11.42578125" style="58" bestFit="1" customWidth="1"/>
    <col min="3583" max="3816" width="9.140625" style="58"/>
    <col min="3817" max="3817" width="3.140625" style="58" customWidth="1"/>
    <col min="3818" max="3818" width="6.140625" style="58" customWidth="1"/>
    <col min="3819" max="3819" width="10.28515625" style="58" customWidth="1"/>
    <col min="3820" max="3820" width="34.140625" style="58" customWidth="1"/>
    <col min="3821" max="3821" width="9.28515625" style="58" customWidth="1"/>
    <col min="3822" max="3823" width="12.140625" style="58" customWidth="1"/>
    <col min="3824" max="3834" width="9.85546875" style="58" customWidth="1"/>
    <col min="3835" max="3835" width="11.5703125" style="58" customWidth="1"/>
    <col min="3836" max="3836" width="12.7109375" style="58" customWidth="1"/>
    <col min="3837" max="3837" width="9.140625" style="58"/>
    <col min="3838" max="3838" width="11.42578125" style="58" bestFit="1" customWidth="1"/>
    <col min="3839" max="4072" width="9.140625" style="58"/>
    <col min="4073" max="4073" width="3.140625" style="58" customWidth="1"/>
    <col min="4074" max="4074" width="6.140625" style="58" customWidth="1"/>
    <col min="4075" max="4075" width="10.28515625" style="58" customWidth="1"/>
    <col min="4076" max="4076" width="34.140625" style="58" customWidth="1"/>
    <col min="4077" max="4077" width="9.28515625" style="58" customWidth="1"/>
    <col min="4078" max="4079" width="12.140625" style="58" customWidth="1"/>
    <col min="4080" max="4090" width="9.85546875" style="58" customWidth="1"/>
    <col min="4091" max="4091" width="11.5703125" style="58" customWidth="1"/>
    <col min="4092" max="4092" width="12.7109375" style="58" customWidth="1"/>
    <col min="4093" max="4093" width="9.140625" style="58"/>
    <col min="4094" max="4094" width="11.42578125" style="58" bestFit="1" customWidth="1"/>
    <col min="4095" max="4328" width="9.140625" style="58"/>
    <col min="4329" max="4329" width="3.140625" style="58" customWidth="1"/>
    <col min="4330" max="4330" width="6.140625" style="58" customWidth="1"/>
    <col min="4331" max="4331" width="10.28515625" style="58" customWidth="1"/>
    <col min="4332" max="4332" width="34.140625" style="58" customWidth="1"/>
    <col min="4333" max="4333" width="9.28515625" style="58" customWidth="1"/>
    <col min="4334" max="4335" width="12.140625" style="58" customWidth="1"/>
    <col min="4336" max="4346" width="9.85546875" style="58" customWidth="1"/>
    <col min="4347" max="4347" width="11.5703125" style="58" customWidth="1"/>
    <col min="4348" max="4348" width="12.7109375" style="58" customWidth="1"/>
    <col min="4349" max="4349" width="9.140625" style="58"/>
    <col min="4350" max="4350" width="11.42578125" style="58" bestFit="1" customWidth="1"/>
    <col min="4351" max="4584" width="9.140625" style="58"/>
    <col min="4585" max="4585" width="3.140625" style="58" customWidth="1"/>
    <col min="4586" max="4586" width="6.140625" style="58" customWidth="1"/>
    <col min="4587" max="4587" width="10.28515625" style="58" customWidth="1"/>
    <col min="4588" max="4588" width="34.140625" style="58" customWidth="1"/>
    <col min="4589" max="4589" width="9.28515625" style="58" customWidth="1"/>
    <col min="4590" max="4591" width="12.140625" style="58" customWidth="1"/>
    <col min="4592" max="4602" width="9.85546875" style="58" customWidth="1"/>
    <col min="4603" max="4603" width="11.5703125" style="58" customWidth="1"/>
    <col min="4604" max="4604" width="12.7109375" style="58" customWidth="1"/>
    <col min="4605" max="4605" width="9.140625" style="58"/>
    <col min="4606" max="4606" width="11.42578125" style="58" bestFit="1" customWidth="1"/>
    <col min="4607" max="4840" width="9.140625" style="58"/>
    <col min="4841" max="4841" width="3.140625" style="58" customWidth="1"/>
    <col min="4842" max="4842" width="6.140625" style="58" customWidth="1"/>
    <col min="4843" max="4843" width="10.28515625" style="58" customWidth="1"/>
    <col min="4844" max="4844" width="34.140625" style="58" customWidth="1"/>
    <col min="4845" max="4845" width="9.28515625" style="58" customWidth="1"/>
    <col min="4846" max="4847" width="12.140625" style="58" customWidth="1"/>
    <col min="4848" max="4858" width="9.85546875" style="58" customWidth="1"/>
    <col min="4859" max="4859" width="11.5703125" style="58" customWidth="1"/>
    <col min="4860" max="4860" width="12.7109375" style="58" customWidth="1"/>
    <col min="4861" max="4861" width="9.140625" style="58"/>
    <col min="4862" max="4862" width="11.42578125" style="58" bestFit="1" customWidth="1"/>
    <col min="4863" max="5096" width="9.140625" style="58"/>
    <col min="5097" max="5097" width="3.140625" style="58" customWidth="1"/>
    <col min="5098" max="5098" width="6.140625" style="58" customWidth="1"/>
    <col min="5099" max="5099" width="10.28515625" style="58" customWidth="1"/>
    <col min="5100" max="5100" width="34.140625" style="58" customWidth="1"/>
    <col min="5101" max="5101" width="9.28515625" style="58" customWidth="1"/>
    <col min="5102" max="5103" width="12.140625" style="58" customWidth="1"/>
    <col min="5104" max="5114" width="9.85546875" style="58" customWidth="1"/>
    <col min="5115" max="5115" width="11.5703125" style="58" customWidth="1"/>
    <col min="5116" max="5116" width="12.7109375" style="58" customWidth="1"/>
    <col min="5117" max="5117" width="9.140625" style="58"/>
    <col min="5118" max="5118" width="11.42578125" style="58" bestFit="1" customWidth="1"/>
    <col min="5119" max="5352" width="9.140625" style="58"/>
    <col min="5353" max="5353" width="3.140625" style="58" customWidth="1"/>
    <col min="5354" max="5354" width="6.140625" style="58" customWidth="1"/>
    <col min="5355" max="5355" width="10.28515625" style="58" customWidth="1"/>
    <col min="5356" max="5356" width="34.140625" style="58" customWidth="1"/>
    <col min="5357" max="5357" width="9.28515625" style="58" customWidth="1"/>
    <col min="5358" max="5359" width="12.140625" style="58" customWidth="1"/>
    <col min="5360" max="5370" width="9.85546875" style="58" customWidth="1"/>
    <col min="5371" max="5371" width="11.5703125" style="58" customWidth="1"/>
    <col min="5372" max="5372" width="12.7109375" style="58" customWidth="1"/>
    <col min="5373" max="5373" width="9.140625" style="58"/>
    <col min="5374" max="5374" width="11.42578125" style="58" bestFit="1" customWidth="1"/>
    <col min="5375" max="5608" width="9.140625" style="58"/>
    <col min="5609" max="5609" width="3.140625" style="58" customWidth="1"/>
    <col min="5610" max="5610" width="6.140625" style="58" customWidth="1"/>
    <col min="5611" max="5611" width="10.28515625" style="58" customWidth="1"/>
    <col min="5612" max="5612" width="34.140625" style="58" customWidth="1"/>
    <col min="5613" max="5613" width="9.28515625" style="58" customWidth="1"/>
    <col min="5614" max="5615" width="12.140625" style="58" customWidth="1"/>
    <col min="5616" max="5626" width="9.85546875" style="58" customWidth="1"/>
    <col min="5627" max="5627" width="11.5703125" style="58" customWidth="1"/>
    <col min="5628" max="5628" width="12.7109375" style="58" customWidth="1"/>
    <col min="5629" max="5629" width="9.140625" style="58"/>
    <col min="5630" max="5630" width="11.42578125" style="58" bestFit="1" customWidth="1"/>
    <col min="5631" max="5864" width="9.140625" style="58"/>
    <col min="5865" max="5865" width="3.140625" style="58" customWidth="1"/>
    <col min="5866" max="5866" width="6.140625" style="58" customWidth="1"/>
    <col min="5867" max="5867" width="10.28515625" style="58" customWidth="1"/>
    <col min="5868" max="5868" width="34.140625" style="58" customWidth="1"/>
    <col min="5869" max="5869" width="9.28515625" style="58" customWidth="1"/>
    <col min="5870" max="5871" width="12.140625" style="58" customWidth="1"/>
    <col min="5872" max="5882" width="9.85546875" style="58" customWidth="1"/>
    <col min="5883" max="5883" width="11.5703125" style="58" customWidth="1"/>
    <col min="5884" max="5884" width="12.7109375" style="58" customWidth="1"/>
    <col min="5885" max="5885" width="9.140625" style="58"/>
    <col min="5886" max="5886" width="11.42578125" style="58" bestFit="1" customWidth="1"/>
    <col min="5887" max="6120" width="9.140625" style="58"/>
    <col min="6121" max="6121" width="3.140625" style="58" customWidth="1"/>
    <col min="6122" max="6122" width="6.140625" style="58" customWidth="1"/>
    <col min="6123" max="6123" width="10.28515625" style="58" customWidth="1"/>
    <col min="6124" max="6124" width="34.140625" style="58" customWidth="1"/>
    <col min="6125" max="6125" width="9.28515625" style="58" customWidth="1"/>
    <col min="6126" max="6127" width="12.140625" style="58" customWidth="1"/>
    <col min="6128" max="6138" width="9.85546875" style="58" customWidth="1"/>
    <col min="6139" max="6139" width="11.5703125" style="58" customWidth="1"/>
    <col min="6140" max="6140" width="12.7109375" style="58" customWidth="1"/>
    <col min="6141" max="6141" width="9.140625" style="58"/>
    <col min="6142" max="6142" width="11.42578125" style="58" bestFit="1" customWidth="1"/>
    <col min="6143" max="6376" width="9.140625" style="58"/>
    <col min="6377" max="6377" width="3.140625" style="58" customWidth="1"/>
    <col min="6378" max="6378" width="6.140625" style="58" customWidth="1"/>
    <col min="6379" max="6379" width="10.28515625" style="58" customWidth="1"/>
    <col min="6380" max="6380" width="34.140625" style="58" customWidth="1"/>
    <col min="6381" max="6381" width="9.28515625" style="58" customWidth="1"/>
    <col min="6382" max="6383" width="12.140625" style="58" customWidth="1"/>
    <col min="6384" max="6394" width="9.85546875" style="58" customWidth="1"/>
    <col min="6395" max="6395" width="11.5703125" style="58" customWidth="1"/>
    <col min="6396" max="6396" width="12.7109375" style="58" customWidth="1"/>
    <col min="6397" max="6397" width="9.140625" style="58"/>
    <col min="6398" max="6398" width="11.42578125" style="58" bestFit="1" customWidth="1"/>
    <col min="6399" max="6632" width="9.140625" style="58"/>
    <col min="6633" max="6633" width="3.140625" style="58" customWidth="1"/>
    <col min="6634" max="6634" width="6.140625" style="58" customWidth="1"/>
    <col min="6635" max="6635" width="10.28515625" style="58" customWidth="1"/>
    <col min="6636" max="6636" width="34.140625" style="58" customWidth="1"/>
    <col min="6637" max="6637" width="9.28515625" style="58" customWidth="1"/>
    <col min="6638" max="6639" width="12.140625" style="58" customWidth="1"/>
    <col min="6640" max="6650" width="9.85546875" style="58" customWidth="1"/>
    <col min="6651" max="6651" width="11.5703125" style="58" customWidth="1"/>
    <col min="6652" max="6652" width="12.7109375" style="58" customWidth="1"/>
    <col min="6653" max="6653" width="9.140625" style="58"/>
    <col min="6654" max="6654" width="11.42578125" style="58" bestFit="1" customWidth="1"/>
    <col min="6655" max="6888" width="9.140625" style="58"/>
    <col min="6889" max="6889" width="3.140625" style="58" customWidth="1"/>
    <col min="6890" max="6890" width="6.140625" style="58" customWidth="1"/>
    <col min="6891" max="6891" width="10.28515625" style="58" customWidth="1"/>
    <col min="6892" max="6892" width="34.140625" style="58" customWidth="1"/>
    <col min="6893" max="6893" width="9.28515625" style="58" customWidth="1"/>
    <col min="6894" max="6895" width="12.140625" style="58" customWidth="1"/>
    <col min="6896" max="6906" width="9.85546875" style="58" customWidth="1"/>
    <col min="6907" max="6907" width="11.5703125" style="58" customWidth="1"/>
    <col min="6908" max="6908" width="12.7109375" style="58" customWidth="1"/>
    <col min="6909" max="6909" width="9.140625" style="58"/>
    <col min="6910" max="6910" width="11.42578125" style="58" bestFit="1" customWidth="1"/>
    <col min="6911" max="7144" width="9.140625" style="58"/>
    <col min="7145" max="7145" width="3.140625" style="58" customWidth="1"/>
    <col min="7146" max="7146" width="6.140625" style="58" customWidth="1"/>
    <col min="7147" max="7147" width="10.28515625" style="58" customWidth="1"/>
    <col min="7148" max="7148" width="34.140625" style="58" customWidth="1"/>
    <col min="7149" max="7149" width="9.28515625" style="58" customWidth="1"/>
    <col min="7150" max="7151" width="12.140625" style="58" customWidth="1"/>
    <col min="7152" max="7162" width="9.85546875" style="58" customWidth="1"/>
    <col min="7163" max="7163" width="11.5703125" style="58" customWidth="1"/>
    <col min="7164" max="7164" width="12.7109375" style="58" customWidth="1"/>
    <col min="7165" max="7165" width="9.140625" style="58"/>
    <col min="7166" max="7166" width="11.42578125" style="58" bestFit="1" customWidth="1"/>
    <col min="7167" max="7400" width="9.140625" style="58"/>
    <col min="7401" max="7401" width="3.140625" style="58" customWidth="1"/>
    <col min="7402" max="7402" width="6.140625" style="58" customWidth="1"/>
    <col min="7403" max="7403" width="10.28515625" style="58" customWidth="1"/>
    <col min="7404" max="7404" width="34.140625" style="58" customWidth="1"/>
    <col min="7405" max="7405" width="9.28515625" style="58" customWidth="1"/>
    <col min="7406" max="7407" width="12.140625" style="58" customWidth="1"/>
    <col min="7408" max="7418" width="9.85546875" style="58" customWidth="1"/>
    <col min="7419" max="7419" width="11.5703125" style="58" customWidth="1"/>
    <col min="7420" max="7420" width="12.7109375" style="58" customWidth="1"/>
    <col min="7421" max="7421" width="9.140625" style="58"/>
    <col min="7422" max="7422" width="11.42578125" style="58" bestFit="1" customWidth="1"/>
    <col min="7423" max="7656" width="9.140625" style="58"/>
    <col min="7657" max="7657" width="3.140625" style="58" customWidth="1"/>
    <col min="7658" max="7658" width="6.140625" style="58" customWidth="1"/>
    <col min="7659" max="7659" width="10.28515625" style="58" customWidth="1"/>
    <col min="7660" max="7660" width="34.140625" style="58" customWidth="1"/>
    <col min="7661" max="7661" width="9.28515625" style="58" customWidth="1"/>
    <col min="7662" max="7663" width="12.140625" style="58" customWidth="1"/>
    <col min="7664" max="7674" width="9.85546875" style="58" customWidth="1"/>
    <col min="7675" max="7675" width="11.5703125" style="58" customWidth="1"/>
    <col min="7676" max="7676" width="12.7109375" style="58" customWidth="1"/>
    <col min="7677" max="7677" width="9.140625" style="58"/>
    <col min="7678" max="7678" width="11.42578125" style="58" bestFit="1" customWidth="1"/>
    <col min="7679" max="7912" width="9.140625" style="58"/>
    <col min="7913" max="7913" width="3.140625" style="58" customWidth="1"/>
    <col min="7914" max="7914" width="6.140625" style="58" customWidth="1"/>
    <col min="7915" max="7915" width="10.28515625" style="58" customWidth="1"/>
    <col min="7916" max="7916" width="34.140625" style="58" customWidth="1"/>
    <col min="7917" max="7917" width="9.28515625" style="58" customWidth="1"/>
    <col min="7918" max="7919" width="12.140625" style="58" customWidth="1"/>
    <col min="7920" max="7930" width="9.85546875" style="58" customWidth="1"/>
    <col min="7931" max="7931" width="11.5703125" style="58" customWidth="1"/>
    <col min="7932" max="7932" width="12.7109375" style="58" customWidth="1"/>
    <col min="7933" max="7933" width="9.140625" style="58"/>
    <col min="7934" max="7934" width="11.42578125" style="58" bestFit="1" customWidth="1"/>
    <col min="7935" max="8168" width="9.140625" style="58"/>
    <col min="8169" max="8169" width="3.140625" style="58" customWidth="1"/>
    <col min="8170" max="8170" width="6.140625" style="58" customWidth="1"/>
    <col min="8171" max="8171" width="10.28515625" style="58" customWidth="1"/>
    <col min="8172" max="8172" width="34.140625" style="58" customWidth="1"/>
    <col min="8173" max="8173" width="9.28515625" style="58" customWidth="1"/>
    <col min="8174" max="8175" width="12.140625" style="58" customWidth="1"/>
    <col min="8176" max="8186" width="9.85546875" style="58" customWidth="1"/>
    <col min="8187" max="8187" width="11.5703125" style="58" customWidth="1"/>
    <col min="8188" max="8188" width="12.7109375" style="58" customWidth="1"/>
    <col min="8189" max="8189" width="9.140625" style="58"/>
    <col min="8190" max="8190" width="11.42578125" style="58" bestFit="1" customWidth="1"/>
    <col min="8191" max="8424" width="9.140625" style="58"/>
    <col min="8425" max="8425" width="3.140625" style="58" customWidth="1"/>
    <col min="8426" max="8426" width="6.140625" style="58" customWidth="1"/>
    <col min="8427" max="8427" width="10.28515625" style="58" customWidth="1"/>
    <col min="8428" max="8428" width="34.140625" style="58" customWidth="1"/>
    <col min="8429" max="8429" width="9.28515625" style="58" customWidth="1"/>
    <col min="8430" max="8431" width="12.140625" style="58" customWidth="1"/>
    <col min="8432" max="8442" width="9.85546875" style="58" customWidth="1"/>
    <col min="8443" max="8443" width="11.5703125" style="58" customWidth="1"/>
    <col min="8444" max="8444" width="12.7109375" style="58" customWidth="1"/>
    <col min="8445" max="8445" width="9.140625" style="58"/>
    <col min="8446" max="8446" width="11.42578125" style="58" bestFit="1" customWidth="1"/>
    <col min="8447" max="8680" width="9.140625" style="58"/>
    <col min="8681" max="8681" width="3.140625" style="58" customWidth="1"/>
    <col min="8682" max="8682" width="6.140625" style="58" customWidth="1"/>
    <col min="8683" max="8683" width="10.28515625" style="58" customWidth="1"/>
    <col min="8684" max="8684" width="34.140625" style="58" customWidth="1"/>
    <col min="8685" max="8685" width="9.28515625" style="58" customWidth="1"/>
    <col min="8686" max="8687" width="12.140625" style="58" customWidth="1"/>
    <col min="8688" max="8698" width="9.85546875" style="58" customWidth="1"/>
    <col min="8699" max="8699" width="11.5703125" style="58" customWidth="1"/>
    <col min="8700" max="8700" width="12.7109375" style="58" customWidth="1"/>
    <col min="8701" max="8701" width="9.140625" style="58"/>
    <col min="8702" max="8702" width="11.42578125" style="58" bestFit="1" customWidth="1"/>
    <col min="8703" max="8936" width="9.140625" style="58"/>
    <col min="8937" max="8937" width="3.140625" style="58" customWidth="1"/>
    <col min="8938" max="8938" width="6.140625" style="58" customWidth="1"/>
    <col min="8939" max="8939" width="10.28515625" style="58" customWidth="1"/>
    <col min="8940" max="8940" width="34.140625" style="58" customWidth="1"/>
    <col min="8941" max="8941" width="9.28515625" style="58" customWidth="1"/>
    <col min="8942" max="8943" width="12.140625" style="58" customWidth="1"/>
    <col min="8944" max="8954" width="9.85546875" style="58" customWidth="1"/>
    <col min="8955" max="8955" width="11.5703125" style="58" customWidth="1"/>
    <col min="8956" max="8956" width="12.7109375" style="58" customWidth="1"/>
    <col min="8957" max="8957" width="9.140625" style="58"/>
    <col min="8958" max="8958" width="11.42578125" style="58" bestFit="1" customWidth="1"/>
    <col min="8959" max="9192" width="9.140625" style="58"/>
    <col min="9193" max="9193" width="3.140625" style="58" customWidth="1"/>
    <col min="9194" max="9194" width="6.140625" style="58" customWidth="1"/>
    <col min="9195" max="9195" width="10.28515625" style="58" customWidth="1"/>
    <col min="9196" max="9196" width="34.140625" style="58" customWidth="1"/>
    <col min="9197" max="9197" width="9.28515625" style="58" customWidth="1"/>
    <col min="9198" max="9199" width="12.140625" style="58" customWidth="1"/>
    <col min="9200" max="9210" width="9.85546875" style="58" customWidth="1"/>
    <col min="9211" max="9211" width="11.5703125" style="58" customWidth="1"/>
    <col min="9212" max="9212" width="12.7109375" style="58" customWidth="1"/>
    <col min="9213" max="9213" width="9.140625" style="58"/>
    <col min="9214" max="9214" width="11.42578125" style="58" bestFit="1" customWidth="1"/>
    <col min="9215" max="9448" width="9.140625" style="58"/>
    <col min="9449" max="9449" width="3.140625" style="58" customWidth="1"/>
    <col min="9450" max="9450" width="6.140625" style="58" customWidth="1"/>
    <col min="9451" max="9451" width="10.28515625" style="58" customWidth="1"/>
    <col min="9452" max="9452" width="34.140625" style="58" customWidth="1"/>
    <col min="9453" max="9453" width="9.28515625" style="58" customWidth="1"/>
    <col min="9454" max="9455" width="12.140625" style="58" customWidth="1"/>
    <col min="9456" max="9466" width="9.85546875" style="58" customWidth="1"/>
    <col min="9467" max="9467" width="11.5703125" style="58" customWidth="1"/>
    <col min="9468" max="9468" width="12.7109375" style="58" customWidth="1"/>
    <col min="9469" max="9469" width="9.140625" style="58"/>
    <col min="9470" max="9470" width="11.42578125" style="58" bestFit="1" customWidth="1"/>
    <col min="9471" max="9704" width="9.140625" style="58"/>
    <col min="9705" max="9705" width="3.140625" style="58" customWidth="1"/>
    <col min="9706" max="9706" width="6.140625" style="58" customWidth="1"/>
    <col min="9707" max="9707" width="10.28515625" style="58" customWidth="1"/>
    <col min="9708" max="9708" width="34.140625" style="58" customWidth="1"/>
    <col min="9709" max="9709" width="9.28515625" style="58" customWidth="1"/>
    <col min="9710" max="9711" width="12.140625" style="58" customWidth="1"/>
    <col min="9712" max="9722" width="9.85546875" style="58" customWidth="1"/>
    <col min="9723" max="9723" width="11.5703125" style="58" customWidth="1"/>
    <col min="9724" max="9724" width="12.7109375" style="58" customWidth="1"/>
    <col min="9725" max="9725" width="9.140625" style="58"/>
    <col min="9726" max="9726" width="11.42578125" style="58" bestFit="1" customWidth="1"/>
    <col min="9727" max="9960" width="9.140625" style="58"/>
    <col min="9961" max="9961" width="3.140625" style="58" customWidth="1"/>
    <col min="9962" max="9962" width="6.140625" style="58" customWidth="1"/>
    <col min="9963" max="9963" width="10.28515625" style="58" customWidth="1"/>
    <col min="9964" max="9964" width="34.140625" style="58" customWidth="1"/>
    <col min="9965" max="9965" width="9.28515625" style="58" customWidth="1"/>
    <col min="9966" max="9967" width="12.140625" style="58" customWidth="1"/>
    <col min="9968" max="9978" width="9.85546875" style="58" customWidth="1"/>
    <col min="9979" max="9979" width="11.5703125" style="58" customWidth="1"/>
    <col min="9980" max="9980" width="12.7109375" style="58" customWidth="1"/>
    <col min="9981" max="9981" width="9.140625" style="58"/>
    <col min="9982" max="9982" width="11.42578125" style="58" bestFit="1" customWidth="1"/>
    <col min="9983" max="10216" width="9.140625" style="58"/>
    <col min="10217" max="10217" width="3.140625" style="58" customWidth="1"/>
    <col min="10218" max="10218" width="6.140625" style="58" customWidth="1"/>
    <col min="10219" max="10219" width="10.28515625" style="58" customWidth="1"/>
    <col min="10220" max="10220" width="34.140625" style="58" customWidth="1"/>
    <col min="10221" max="10221" width="9.28515625" style="58" customWidth="1"/>
    <col min="10222" max="10223" width="12.140625" style="58" customWidth="1"/>
    <col min="10224" max="10234" width="9.85546875" style="58" customWidth="1"/>
    <col min="10235" max="10235" width="11.5703125" style="58" customWidth="1"/>
    <col min="10236" max="10236" width="12.7109375" style="58" customWidth="1"/>
    <col min="10237" max="10237" width="9.140625" style="58"/>
    <col min="10238" max="10238" width="11.42578125" style="58" bestFit="1" customWidth="1"/>
    <col min="10239" max="10472" width="9.140625" style="58"/>
    <col min="10473" max="10473" width="3.140625" style="58" customWidth="1"/>
    <col min="10474" max="10474" width="6.140625" style="58" customWidth="1"/>
    <col min="10475" max="10475" width="10.28515625" style="58" customWidth="1"/>
    <col min="10476" max="10476" width="34.140625" style="58" customWidth="1"/>
    <col min="10477" max="10477" width="9.28515625" style="58" customWidth="1"/>
    <col min="10478" max="10479" width="12.140625" style="58" customWidth="1"/>
    <col min="10480" max="10490" width="9.85546875" style="58" customWidth="1"/>
    <col min="10491" max="10491" width="11.5703125" style="58" customWidth="1"/>
    <col min="10492" max="10492" width="12.7109375" style="58" customWidth="1"/>
    <col min="10493" max="10493" width="9.140625" style="58"/>
    <col min="10494" max="10494" width="11.42578125" style="58" bestFit="1" customWidth="1"/>
    <col min="10495" max="10728" width="9.140625" style="58"/>
    <col min="10729" max="10729" width="3.140625" style="58" customWidth="1"/>
    <col min="10730" max="10730" width="6.140625" style="58" customWidth="1"/>
    <col min="10731" max="10731" width="10.28515625" style="58" customWidth="1"/>
    <col min="10732" max="10732" width="34.140625" style="58" customWidth="1"/>
    <col min="10733" max="10733" width="9.28515625" style="58" customWidth="1"/>
    <col min="10734" max="10735" width="12.140625" style="58" customWidth="1"/>
    <col min="10736" max="10746" width="9.85546875" style="58" customWidth="1"/>
    <col min="10747" max="10747" width="11.5703125" style="58" customWidth="1"/>
    <col min="10748" max="10748" width="12.7109375" style="58" customWidth="1"/>
    <col min="10749" max="10749" width="9.140625" style="58"/>
    <col min="10750" max="10750" width="11.42578125" style="58" bestFit="1" customWidth="1"/>
    <col min="10751" max="10984" width="9.140625" style="58"/>
    <col min="10985" max="10985" width="3.140625" style="58" customWidth="1"/>
    <col min="10986" max="10986" width="6.140625" style="58" customWidth="1"/>
    <col min="10987" max="10987" width="10.28515625" style="58" customWidth="1"/>
    <col min="10988" max="10988" width="34.140625" style="58" customWidth="1"/>
    <col min="10989" max="10989" width="9.28515625" style="58" customWidth="1"/>
    <col min="10990" max="10991" width="12.140625" style="58" customWidth="1"/>
    <col min="10992" max="11002" width="9.85546875" style="58" customWidth="1"/>
    <col min="11003" max="11003" width="11.5703125" style="58" customWidth="1"/>
    <col min="11004" max="11004" width="12.7109375" style="58" customWidth="1"/>
    <col min="11005" max="11005" width="9.140625" style="58"/>
    <col min="11006" max="11006" width="11.42578125" style="58" bestFit="1" customWidth="1"/>
    <col min="11007" max="11240" width="9.140625" style="58"/>
    <col min="11241" max="11241" width="3.140625" style="58" customWidth="1"/>
    <col min="11242" max="11242" width="6.140625" style="58" customWidth="1"/>
    <col min="11243" max="11243" width="10.28515625" style="58" customWidth="1"/>
    <col min="11244" max="11244" width="34.140625" style="58" customWidth="1"/>
    <col min="11245" max="11245" width="9.28515625" style="58" customWidth="1"/>
    <col min="11246" max="11247" width="12.140625" style="58" customWidth="1"/>
    <col min="11248" max="11258" width="9.85546875" style="58" customWidth="1"/>
    <col min="11259" max="11259" width="11.5703125" style="58" customWidth="1"/>
    <col min="11260" max="11260" width="12.7109375" style="58" customWidth="1"/>
    <col min="11261" max="11261" width="9.140625" style="58"/>
    <col min="11262" max="11262" width="11.42578125" style="58" bestFit="1" customWidth="1"/>
    <col min="11263" max="11496" width="9.140625" style="58"/>
    <col min="11497" max="11497" width="3.140625" style="58" customWidth="1"/>
    <col min="11498" max="11498" width="6.140625" style="58" customWidth="1"/>
    <col min="11499" max="11499" width="10.28515625" style="58" customWidth="1"/>
    <col min="11500" max="11500" width="34.140625" style="58" customWidth="1"/>
    <col min="11501" max="11501" width="9.28515625" style="58" customWidth="1"/>
    <col min="11502" max="11503" width="12.140625" style="58" customWidth="1"/>
    <col min="11504" max="11514" width="9.85546875" style="58" customWidth="1"/>
    <col min="11515" max="11515" width="11.5703125" style="58" customWidth="1"/>
    <col min="11516" max="11516" width="12.7109375" style="58" customWidth="1"/>
    <col min="11517" max="11517" width="9.140625" style="58"/>
    <col min="11518" max="11518" width="11.42578125" style="58" bestFit="1" customWidth="1"/>
    <col min="11519" max="11752" width="9.140625" style="58"/>
    <col min="11753" max="11753" width="3.140625" style="58" customWidth="1"/>
    <col min="11754" max="11754" width="6.140625" style="58" customWidth="1"/>
    <col min="11755" max="11755" width="10.28515625" style="58" customWidth="1"/>
    <col min="11756" max="11756" width="34.140625" style="58" customWidth="1"/>
    <col min="11757" max="11757" width="9.28515625" style="58" customWidth="1"/>
    <col min="11758" max="11759" width="12.140625" style="58" customWidth="1"/>
    <col min="11760" max="11770" width="9.85546875" style="58" customWidth="1"/>
    <col min="11771" max="11771" width="11.5703125" style="58" customWidth="1"/>
    <col min="11772" max="11772" width="12.7109375" style="58" customWidth="1"/>
    <col min="11773" max="11773" width="9.140625" style="58"/>
    <col min="11774" max="11774" width="11.42578125" style="58" bestFit="1" customWidth="1"/>
    <col min="11775" max="12008" width="9.140625" style="58"/>
    <col min="12009" max="12009" width="3.140625" style="58" customWidth="1"/>
    <col min="12010" max="12010" width="6.140625" style="58" customWidth="1"/>
    <col min="12011" max="12011" width="10.28515625" style="58" customWidth="1"/>
    <col min="12012" max="12012" width="34.140625" style="58" customWidth="1"/>
    <col min="12013" max="12013" width="9.28515625" style="58" customWidth="1"/>
    <col min="12014" max="12015" width="12.140625" style="58" customWidth="1"/>
    <col min="12016" max="12026" width="9.85546875" style="58" customWidth="1"/>
    <col min="12027" max="12027" width="11.5703125" style="58" customWidth="1"/>
    <col min="12028" max="12028" width="12.7109375" style="58" customWidth="1"/>
    <col min="12029" max="12029" width="9.140625" style="58"/>
    <col min="12030" max="12030" width="11.42578125" style="58" bestFit="1" customWidth="1"/>
    <col min="12031" max="12264" width="9.140625" style="58"/>
    <col min="12265" max="12265" width="3.140625" style="58" customWidth="1"/>
    <col min="12266" max="12266" width="6.140625" style="58" customWidth="1"/>
    <col min="12267" max="12267" width="10.28515625" style="58" customWidth="1"/>
    <col min="12268" max="12268" width="34.140625" style="58" customWidth="1"/>
    <col min="12269" max="12269" width="9.28515625" style="58" customWidth="1"/>
    <col min="12270" max="12271" width="12.140625" style="58" customWidth="1"/>
    <col min="12272" max="12282" width="9.85546875" style="58" customWidth="1"/>
    <col min="12283" max="12283" width="11.5703125" style="58" customWidth="1"/>
    <col min="12284" max="12284" width="12.7109375" style="58" customWidth="1"/>
    <col min="12285" max="12285" width="9.140625" style="58"/>
    <col min="12286" max="12286" width="11.42578125" style="58" bestFit="1" customWidth="1"/>
    <col min="12287" max="12520" width="9.140625" style="58"/>
    <col min="12521" max="12521" width="3.140625" style="58" customWidth="1"/>
    <col min="12522" max="12522" width="6.140625" style="58" customWidth="1"/>
    <col min="12523" max="12523" width="10.28515625" style="58" customWidth="1"/>
    <col min="12524" max="12524" width="34.140625" style="58" customWidth="1"/>
    <col min="12525" max="12525" width="9.28515625" style="58" customWidth="1"/>
    <col min="12526" max="12527" width="12.140625" style="58" customWidth="1"/>
    <col min="12528" max="12538" width="9.85546875" style="58" customWidth="1"/>
    <col min="12539" max="12539" width="11.5703125" style="58" customWidth="1"/>
    <col min="12540" max="12540" width="12.7109375" style="58" customWidth="1"/>
    <col min="12541" max="12541" width="9.140625" style="58"/>
    <col min="12542" max="12542" width="11.42578125" style="58" bestFit="1" customWidth="1"/>
    <col min="12543" max="12776" width="9.140625" style="58"/>
    <col min="12777" max="12777" width="3.140625" style="58" customWidth="1"/>
    <col min="12778" max="12778" width="6.140625" style="58" customWidth="1"/>
    <col min="12779" max="12779" width="10.28515625" style="58" customWidth="1"/>
    <col min="12780" max="12780" width="34.140625" style="58" customWidth="1"/>
    <col min="12781" max="12781" width="9.28515625" style="58" customWidth="1"/>
    <col min="12782" max="12783" width="12.140625" style="58" customWidth="1"/>
    <col min="12784" max="12794" width="9.85546875" style="58" customWidth="1"/>
    <col min="12795" max="12795" width="11.5703125" style="58" customWidth="1"/>
    <col min="12796" max="12796" width="12.7109375" style="58" customWidth="1"/>
    <col min="12797" max="12797" width="9.140625" style="58"/>
    <col min="12798" max="12798" width="11.42578125" style="58" bestFit="1" customWidth="1"/>
    <col min="12799" max="13032" width="9.140625" style="58"/>
    <col min="13033" max="13033" width="3.140625" style="58" customWidth="1"/>
    <col min="13034" max="13034" width="6.140625" style="58" customWidth="1"/>
    <col min="13035" max="13035" width="10.28515625" style="58" customWidth="1"/>
    <col min="13036" max="13036" width="34.140625" style="58" customWidth="1"/>
    <col min="13037" max="13037" width="9.28515625" style="58" customWidth="1"/>
    <col min="13038" max="13039" width="12.140625" style="58" customWidth="1"/>
    <col min="13040" max="13050" width="9.85546875" style="58" customWidth="1"/>
    <col min="13051" max="13051" width="11.5703125" style="58" customWidth="1"/>
    <col min="13052" max="13052" width="12.7109375" style="58" customWidth="1"/>
    <col min="13053" max="13053" width="9.140625" style="58"/>
    <col min="13054" max="13054" width="11.42578125" style="58" bestFit="1" customWidth="1"/>
    <col min="13055" max="13288" width="9.140625" style="58"/>
    <col min="13289" max="13289" width="3.140625" style="58" customWidth="1"/>
    <col min="13290" max="13290" width="6.140625" style="58" customWidth="1"/>
    <col min="13291" max="13291" width="10.28515625" style="58" customWidth="1"/>
    <col min="13292" max="13292" width="34.140625" style="58" customWidth="1"/>
    <col min="13293" max="13293" width="9.28515625" style="58" customWidth="1"/>
    <col min="13294" max="13295" width="12.140625" style="58" customWidth="1"/>
    <col min="13296" max="13306" width="9.85546875" style="58" customWidth="1"/>
    <col min="13307" max="13307" width="11.5703125" style="58" customWidth="1"/>
    <col min="13308" max="13308" width="12.7109375" style="58" customWidth="1"/>
    <col min="13309" max="13309" width="9.140625" style="58"/>
    <col min="13310" max="13310" width="11.42578125" style="58" bestFit="1" customWidth="1"/>
    <col min="13311" max="13544" width="9.140625" style="58"/>
    <col min="13545" max="13545" width="3.140625" style="58" customWidth="1"/>
    <col min="13546" max="13546" width="6.140625" style="58" customWidth="1"/>
    <col min="13547" max="13547" width="10.28515625" style="58" customWidth="1"/>
    <col min="13548" max="13548" width="34.140625" style="58" customWidth="1"/>
    <col min="13549" max="13549" width="9.28515625" style="58" customWidth="1"/>
    <col min="13550" max="13551" width="12.140625" style="58" customWidth="1"/>
    <col min="13552" max="13562" width="9.85546875" style="58" customWidth="1"/>
    <col min="13563" max="13563" width="11.5703125" style="58" customWidth="1"/>
    <col min="13564" max="13564" width="12.7109375" style="58" customWidth="1"/>
    <col min="13565" max="13565" width="9.140625" style="58"/>
    <col min="13566" max="13566" width="11.42578125" style="58" bestFit="1" customWidth="1"/>
    <col min="13567" max="13800" width="9.140625" style="58"/>
    <col min="13801" max="13801" width="3.140625" style="58" customWidth="1"/>
    <col min="13802" max="13802" width="6.140625" style="58" customWidth="1"/>
    <col min="13803" max="13803" width="10.28515625" style="58" customWidth="1"/>
    <col min="13804" max="13804" width="34.140625" style="58" customWidth="1"/>
    <col min="13805" max="13805" width="9.28515625" style="58" customWidth="1"/>
    <col min="13806" max="13807" width="12.140625" style="58" customWidth="1"/>
    <col min="13808" max="13818" width="9.85546875" style="58" customWidth="1"/>
    <col min="13819" max="13819" width="11.5703125" style="58" customWidth="1"/>
    <col min="13820" max="13820" width="12.7109375" style="58" customWidth="1"/>
    <col min="13821" max="13821" width="9.140625" style="58"/>
    <col min="13822" max="13822" width="11.42578125" style="58" bestFit="1" customWidth="1"/>
    <col min="13823" max="14056" width="9.140625" style="58"/>
    <col min="14057" max="14057" width="3.140625" style="58" customWidth="1"/>
    <col min="14058" max="14058" width="6.140625" style="58" customWidth="1"/>
    <col min="14059" max="14059" width="10.28515625" style="58" customWidth="1"/>
    <col min="14060" max="14060" width="34.140625" style="58" customWidth="1"/>
    <col min="14061" max="14061" width="9.28515625" style="58" customWidth="1"/>
    <col min="14062" max="14063" width="12.140625" style="58" customWidth="1"/>
    <col min="14064" max="14074" width="9.85546875" style="58" customWidth="1"/>
    <col min="14075" max="14075" width="11.5703125" style="58" customWidth="1"/>
    <col min="14076" max="14076" width="12.7109375" style="58" customWidth="1"/>
    <col min="14077" max="14077" width="9.140625" style="58"/>
    <col min="14078" max="14078" width="11.42578125" style="58" bestFit="1" customWidth="1"/>
    <col min="14079" max="14312" width="9.140625" style="58"/>
    <col min="14313" max="14313" width="3.140625" style="58" customWidth="1"/>
    <col min="14314" max="14314" width="6.140625" style="58" customWidth="1"/>
    <col min="14315" max="14315" width="10.28515625" style="58" customWidth="1"/>
    <col min="14316" max="14316" width="34.140625" style="58" customWidth="1"/>
    <col min="14317" max="14317" width="9.28515625" style="58" customWidth="1"/>
    <col min="14318" max="14319" width="12.140625" style="58" customWidth="1"/>
    <col min="14320" max="14330" width="9.85546875" style="58" customWidth="1"/>
    <col min="14331" max="14331" width="11.5703125" style="58" customWidth="1"/>
    <col min="14332" max="14332" width="12.7109375" style="58" customWidth="1"/>
    <col min="14333" max="14333" width="9.140625" style="58"/>
    <col min="14334" max="14334" width="11.42578125" style="58" bestFit="1" customWidth="1"/>
    <col min="14335" max="14568" width="9.140625" style="58"/>
    <col min="14569" max="14569" width="3.140625" style="58" customWidth="1"/>
    <col min="14570" max="14570" width="6.140625" style="58" customWidth="1"/>
    <col min="14571" max="14571" width="10.28515625" style="58" customWidth="1"/>
    <col min="14572" max="14572" width="34.140625" style="58" customWidth="1"/>
    <col min="14573" max="14573" width="9.28515625" style="58" customWidth="1"/>
    <col min="14574" max="14575" width="12.140625" style="58" customWidth="1"/>
    <col min="14576" max="14586" width="9.85546875" style="58" customWidth="1"/>
    <col min="14587" max="14587" width="11.5703125" style="58" customWidth="1"/>
    <col min="14588" max="14588" width="12.7109375" style="58" customWidth="1"/>
    <col min="14589" max="14589" width="9.140625" style="58"/>
    <col min="14590" max="14590" width="11.42578125" style="58" bestFit="1" customWidth="1"/>
    <col min="14591" max="14824" width="9.140625" style="58"/>
    <col min="14825" max="14825" width="3.140625" style="58" customWidth="1"/>
    <col min="14826" max="14826" width="6.140625" style="58" customWidth="1"/>
    <col min="14827" max="14827" width="10.28515625" style="58" customWidth="1"/>
    <col min="14828" max="14828" width="34.140625" style="58" customWidth="1"/>
    <col min="14829" max="14829" width="9.28515625" style="58" customWidth="1"/>
    <col min="14830" max="14831" width="12.140625" style="58" customWidth="1"/>
    <col min="14832" max="14842" width="9.85546875" style="58" customWidth="1"/>
    <col min="14843" max="14843" width="11.5703125" style="58" customWidth="1"/>
    <col min="14844" max="14844" width="12.7109375" style="58" customWidth="1"/>
    <col min="14845" max="14845" width="9.140625" style="58"/>
    <col min="14846" max="14846" width="11.42578125" style="58" bestFit="1" customWidth="1"/>
    <col min="14847" max="15080" width="9.140625" style="58"/>
    <col min="15081" max="15081" width="3.140625" style="58" customWidth="1"/>
    <col min="15082" max="15082" width="6.140625" style="58" customWidth="1"/>
    <col min="15083" max="15083" width="10.28515625" style="58" customWidth="1"/>
    <col min="15084" max="15084" width="34.140625" style="58" customWidth="1"/>
    <col min="15085" max="15085" width="9.28515625" style="58" customWidth="1"/>
    <col min="15086" max="15087" width="12.140625" style="58" customWidth="1"/>
    <col min="15088" max="15098" width="9.85546875" style="58" customWidth="1"/>
    <col min="15099" max="15099" width="11.5703125" style="58" customWidth="1"/>
    <col min="15100" max="15100" width="12.7109375" style="58" customWidth="1"/>
    <col min="15101" max="15101" width="9.140625" style="58"/>
    <col min="15102" max="15102" width="11.42578125" style="58" bestFit="1" customWidth="1"/>
    <col min="15103" max="15336" width="9.140625" style="58"/>
    <col min="15337" max="15337" width="3.140625" style="58" customWidth="1"/>
    <col min="15338" max="15338" width="6.140625" style="58" customWidth="1"/>
    <col min="15339" max="15339" width="10.28515625" style="58" customWidth="1"/>
    <col min="15340" max="15340" width="34.140625" style="58" customWidth="1"/>
    <col min="15341" max="15341" width="9.28515625" style="58" customWidth="1"/>
    <col min="15342" max="15343" width="12.140625" style="58" customWidth="1"/>
    <col min="15344" max="15354" width="9.85546875" style="58" customWidth="1"/>
    <col min="15355" max="15355" width="11.5703125" style="58" customWidth="1"/>
    <col min="15356" max="15356" width="12.7109375" style="58" customWidth="1"/>
    <col min="15357" max="15357" width="9.140625" style="58"/>
    <col min="15358" max="15358" width="11.42578125" style="58" bestFit="1" customWidth="1"/>
    <col min="15359" max="15592" width="9.140625" style="58"/>
    <col min="15593" max="15593" width="3.140625" style="58" customWidth="1"/>
    <col min="15594" max="15594" width="6.140625" style="58" customWidth="1"/>
    <col min="15595" max="15595" width="10.28515625" style="58" customWidth="1"/>
    <col min="15596" max="15596" width="34.140625" style="58" customWidth="1"/>
    <col min="15597" max="15597" width="9.28515625" style="58" customWidth="1"/>
    <col min="15598" max="15599" width="12.140625" style="58" customWidth="1"/>
    <col min="15600" max="15610" width="9.85546875" style="58" customWidth="1"/>
    <col min="15611" max="15611" width="11.5703125" style="58" customWidth="1"/>
    <col min="15612" max="15612" width="12.7109375" style="58" customWidth="1"/>
    <col min="15613" max="15613" width="9.140625" style="58"/>
    <col min="15614" max="15614" width="11.42578125" style="58" bestFit="1" customWidth="1"/>
    <col min="15615" max="15848" width="9.140625" style="58"/>
    <col min="15849" max="15849" width="3.140625" style="58" customWidth="1"/>
    <col min="15850" max="15850" width="6.140625" style="58" customWidth="1"/>
    <col min="15851" max="15851" width="10.28515625" style="58" customWidth="1"/>
    <col min="15852" max="15852" width="34.140625" style="58" customWidth="1"/>
    <col min="15853" max="15853" width="9.28515625" style="58" customWidth="1"/>
    <col min="15854" max="15855" width="12.140625" style="58" customWidth="1"/>
    <col min="15856" max="15866" width="9.85546875" style="58" customWidth="1"/>
    <col min="15867" max="15867" width="11.5703125" style="58" customWidth="1"/>
    <col min="15868" max="15868" width="12.7109375" style="58" customWidth="1"/>
    <col min="15869" max="15869" width="9.140625" style="58"/>
    <col min="15870" max="15870" width="11.42578125" style="58" bestFit="1" customWidth="1"/>
    <col min="15871" max="16104" width="9.140625" style="58"/>
    <col min="16105" max="16105" width="3.140625" style="58" customWidth="1"/>
    <col min="16106" max="16106" width="6.140625" style="58" customWidth="1"/>
    <col min="16107" max="16107" width="10.28515625" style="58" customWidth="1"/>
    <col min="16108" max="16108" width="34.140625" style="58" customWidth="1"/>
    <col min="16109" max="16109" width="9.28515625" style="58" customWidth="1"/>
    <col min="16110" max="16111" width="12.140625" style="58" customWidth="1"/>
    <col min="16112" max="16122" width="9.85546875" style="58" customWidth="1"/>
    <col min="16123" max="16123" width="11.5703125" style="58" customWidth="1"/>
    <col min="16124" max="16124" width="12.7109375" style="58" customWidth="1"/>
    <col min="16125" max="16125" width="9.140625" style="58"/>
    <col min="16126" max="16126" width="11.42578125" style="58" bestFit="1" customWidth="1"/>
    <col min="16127" max="16384" width="9.140625" style="58"/>
  </cols>
  <sheetData>
    <row r="1" spans="2:6" s="56" customFormat="1" ht="33.75" customHeight="1" x14ac:dyDescent="0.25">
      <c r="B1" s="293" t="s">
        <v>9</v>
      </c>
      <c r="C1" s="293"/>
      <c r="D1" s="293"/>
      <c r="E1" s="293"/>
      <c r="F1" s="293"/>
    </row>
    <row r="2" spans="2:6" s="56" customFormat="1" ht="27.75" customHeight="1" thickBot="1" x14ac:dyDescent="0.3">
      <c r="B2" s="300" t="s">
        <v>841</v>
      </c>
      <c r="C2" s="300"/>
      <c r="D2" s="300"/>
      <c r="E2" s="300"/>
      <c r="F2" s="300"/>
    </row>
    <row r="3" spans="2:6" s="57" customFormat="1" ht="35.25" customHeight="1" x14ac:dyDescent="0.25">
      <c r="B3" s="294" t="s">
        <v>11</v>
      </c>
      <c r="C3" s="296" t="s">
        <v>12</v>
      </c>
      <c r="D3" s="296"/>
      <c r="E3" s="296" t="s">
        <v>13</v>
      </c>
      <c r="F3" s="298" t="s">
        <v>14</v>
      </c>
    </row>
    <row r="4" spans="2:6" s="57" customFormat="1" ht="16.5" thickBot="1" x14ac:dyDescent="0.3">
      <c r="B4" s="295"/>
      <c r="C4" s="297"/>
      <c r="D4" s="297"/>
      <c r="E4" s="297"/>
      <c r="F4" s="299"/>
    </row>
    <row r="5" spans="2:6" ht="30" customHeight="1" x14ac:dyDescent="0.25">
      <c r="B5" s="59">
        <v>1</v>
      </c>
      <c r="C5" s="289" t="s">
        <v>845</v>
      </c>
      <c r="D5" s="290"/>
      <c r="E5" s="59" t="s">
        <v>0</v>
      </c>
      <c r="F5" s="60">
        <f>10.85+18.46</f>
        <v>29.310000000000002</v>
      </c>
    </row>
    <row r="6" spans="2:6" ht="23.25" customHeight="1" x14ac:dyDescent="0.25">
      <c r="B6" s="61"/>
      <c r="C6" s="291" t="s">
        <v>842</v>
      </c>
      <c r="D6" s="292"/>
      <c r="E6" s="62" t="s">
        <v>669</v>
      </c>
      <c r="F6" s="63">
        <f>10.85*1.26*1.4</f>
        <v>19.139399999999998</v>
      </c>
    </row>
    <row r="7" spans="2:6" ht="23.25" customHeight="1" x14ac:dyDescent="0.25">
      <c r="B7" s="61"/>
      <c r="C7" s="291" t="s">
        <v>843</v>
      </c>
      <c r="D7" s="292"/>
      <c r="E7" s="62" t="s">
        <v>669</v>
      </c>
      <c r="F7" s="63">
        <f>184.6*0.1*1.1*1.5</f>
        <v>30.459000000000003</v>
      </c>
    </row>
    <row r="8" spans="2:6" ht="30" customHeight="1" x14ac:dyDescent="0.25">
      <c r="B8" s="59">
        <v>2</v>
      </c>
      <c r="C8" s="289" t="s">
        <v>846</v>
      </c>
      <c r="D8" s="290"/>
      <c r="E8" s="59" t="s">
        <v>0</v>
      </c>
      <c r="F8" s="60">
        <f>184.6*0.1</f>
        <v>18.46</v>
      </c>
    </row>
    <row r="9" spans="2:6" ht="24" customHeight="1" x14ac:dyDescent="0.25">
      <c r="B9" s="61"/>
      <c r="C9" s="291" t="s">
        <v>844</v>
      </c>
      <c r="D9" s="292"/>
      <c r="E9" s="62" t="s">
        <v>0</v>
      </c>
      <c r="F9" s="63">
        <f>F5*0.1*1.02</f>
        <v>2.9896200000000004</v>
      </c>
    </row>
  </sheetData>
  <mergeCells count="11">
    <mergeCell ref="B1:F1"/>
    <mergeCell ref="B3:B4"/>
    <mergeCell ref="C3:D4"/>
    <mergeCell ref="E3:E4"/>
    <mergeCell ref="F3:F4"/>
    <mergeCell ref="B2:F2"/>
    <mergeCell ref="C5:D5"/>
    <mergeCell ref="C6:D6"/>
    <mergeCell ref="C7:D7"/>
    <mergeCell ref="C9:D9"/>
    <mergeCell ref="C8:D8"/>
  </mergeCells>
  <pageMargins left="0.7" right="0.7" top="0.75" bottom="0.75" header="0.3" footer="0.3"/>
  <pageSetup paperSize="9" scale="6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  <pageSetUpPr autoPageBreaks="0" fitToPage="1"/>
  </sheetPr>
  <dimension ref="A1:D67"/>
  <sheetViews>
    <sheetView showGridLines="0" zoomScale="85" zoomScaleNormal="85" zoomScaleSheetLayoutView="75" workbookViewId="0">
      <selection activeCell="G12" sqref="G12"/>
    </sheetView>
  </sheetViews>
  <sheetFormatPr defaultColWidth="9.140625" defaultRowHeight="12.75" x14ac:dyDescent="0.2"/>
  <cols>
    <col min="1" max="1" width="40.7109375" style="281" customWidth="1"/>
    <col min="2" max="2" width="13.5703125" style="275" customWidth="1"/>
    <col min="3" max="3" width="8.85546875" style="276" customWidth="1"/>
    <col min="4" max="4" width="9.140625" style="18"/>
    <col min="5" max="5" width="8.7109375" style="18" customWidth="1"/>
    <col min="6" max="6" width="9.28515625" style="18" customWidth="1"/>
    <col min="7" max="16384" width="9.140625" style="18"/>
  </cols>
  <sheetData>
    <row r="1" spans="1:4" s="274" customFormat="1" ht="15" x14ac:dyDescent="0.2">
      <c r="A1" s="456" t="s">
        <v>676</v>
      </c>
      <c r="B1" s="456"/>
      <c r="C1" s="456"/>
      <c r="D1" s="273"/>
    </row>
    <row r="2" spans="1:4" ht="15.75" customHeight="1" x14ac:dyDescent="0.2">
      <c r="A2" s="452" t="s">
        <v>55</v>
      </c>
      <c r="B2" s="452" t="s">
        <v>13</v>
      </c>
      <c r="C2" s="455" t="s">
        <v>664</v>
      </c>
    </row>
    <row r="3" spans="1:4" ht="30" customHeight="1" x14ac:dyDescent="0.2">
      <c r="A3" s="453"/>
      <c r="B3" s="454"/>
      <c r="C3" s="455"/>
    </row>
    <row r="4" spans="1:4" x14ac:dyDescent="0.2">
      <c r="A4" s="453"/>
      <c r="B4" s="454"/>
      <c r="C4" s="455"/>
    </row>
    <row r="5" spans="1:4" x14ac:dyDescent="0.2">
      <c r="A5" s="277">
        <v>3</v>
      </c>
      <c r="B5" s="278">
        <v>4</v>
      </c>
      <c r="C5" s="278">
        <v>5</v>
      </c>
    </row>
    <row r="6" spans="1:4" ht="24.6" customHeight="1" x14ac:dyDescent="0.2">
      <c r="A6" s="279" t="s">
        <v>665</v>
      </c>
      <c r="B6" s="278"/>
      <c r="C6" s="278"/>
    </row>
    <row r="7" spans="1:4" ht="20.65" customHeight="1" x14ac:dyDescent="0.2">
      <c r="A7" s="280" t="s">
        <v>666</v>
      </c>
      <c r="B7" s="20"/>
      <c r="C7" s="20"/>
    </row>
    <row r="8" spans="1:4" ht="63.75" x14ac:dyDescent="0.2">
      <c r="A8" s="15" t="s">
        <v>667</v>
      </c>
      <c r="B8" s="16" t="s">
        <v>0</v>
      </c>
      <c r="C8" s="17">
        <v>30.1</v>
      </c>
    </row>
    <row r="9" spans="1:4" ht="16.5" customHeight="1" x14ac:dyDescent="0.2">
      <c r="A9" s="15" t="s">
        <v>50</v>
      </c>
      <c r="B9" s="16" t="s">
        <v>0</v>
      </c>
      <c r="C9" s="17">
        <v>0.9</v>
      </c>
    </row>
    <row r="10" spans="1:4" ht="51" x14ac:dyDescent="0.2">
      <c r="A10" s="15" t="s">
        <v>677</v>
      </c>
      <c r="B10" s="16" t="s">
        <v>0</v>
      </c>
      <c r="C10" s="17">
        <f>15.6+0.3</f>
        <v>15.9</v>
      </c>
    </row>
    <row r="11" spans="1:4" x14ac:dyDescent="0.2">
      <c r="A11" s="15" t="s">
        <v>668</v>
      </c>
      <c r="B11" s="16" t="s">
        <v>669</v>
      </c>
      <c r="C11" s="17">
        <f>C10*1.6</f>
        <v>25.44</v>
      </c>
    </row>
    <row r="12" spans="1:4" ht="22.5" customHeight="1" x14ac:dyDescent="0.2">
      <c r="A12" s="15" t="s">
        <v>718</v>
      </c>
      <c r="B12" s="16" t="s">
        <v>0</v>
      </c>
      <c r="C12" s="17">
        <v>12.5</v>
      </c>
    </row>
    <row r="13" spans="1:4" ht="19.899999999999999" customHeight="1" x14ac:dyDescent="0.2">
      <c r="A13" s="280" t="s">
        <v>670</v>
      </c>
      <c r="B13" s="16"/>
      <c r="C13" s="17"/>
    </row>
    <row r="14" spans="1:4" x14ac:dyDescent="0.2">
      <c r="A14" s="15" t="s">
        <v>678</v>
      </c>
      <c r="B14" s="16" t="s">
        <v>8</v>
      </c>
      <c r="C14" s="17">
        <v>2</v>
      </c>
    </row>
    <row r="15" spans="1:4" ht="26.25" customHeight="1" x14ac:dyDescent="0.2">
      <c r="A15" s="15" t="s">
        <v>679</v>
      </c>
      <c r="B15" s="16" t="s">
        <v>8</v>
      </c>
      <c r="C15" s="17">
        <v>2</v>
      </c>
    </row>
    <row r="16" spans="1:4" ht="25.5" x14ac:dyDescent="0.2">
      <c r="A16" s="15" t="s">
        <v>682</v>
      </c>
      <c r="B16" s="16" t="s">
        <v>208</v>
      </c>
      <c r="C16" s="17">
        <v>20</v>
      </c>
    </row>
    <row r="17" spans="1:3" ht="25.5" x14ac:dyDescent="0.2">
      <c r="A17" s="15" t="s">
        <v>683</v>
      </c>
      <c r="B17" s="16" t="s">
        <v>208</v>
      </c>
      <c r="C17" s="19">
        <f>C16*1.008</f>
        <v>20.16</v>
      </c>
    </row>
    <row r="18" spans="1:3" ht="32.450000000000003" customHeight="1" x14ac:dyDescent="0.2">
      <c r="A18" s="15" t="s">
        <v>680</v>
      </c>
      <c r="B18" s="16" t="s">
        <v>208</v>
      </c>
      <c r="C18" s="17">
        <v>40</v>
      </c>
    </row>
    <row r="19" spans="1:3" ht="25.5" x14ac:dyDescent="0.2">
      <c r="A19" s="15" t="s">
        <v>681</v>
      </c>
      <c r="B19" s="16" t="s">
        <v>208</v>
      </c>
      <c r="C19" s="19">
        <f>C18*1.01</f>
        <v>40.4</v>
      </c>
    </row>
    <row r="20" spans="1:3" ht="36.75" customHeight="1" x14ac:dyDescent="0.2">
      <c r="A20" s="15" t="s">
        <v>671</v>
      </c>
      <c r="B20" s="16" t="s">
        <v>8</v>
      </c>
      <c r="C20" s="19">
        <f>SUM(C21:C22)</f>
        <v>3</v>
      </c>
    </row>
    <row r="21" spans="1:3" ht="29.25" customHeight="1" x14ac:dyDescent="0.2">
      <c r="A21" s="15" t="s">
        <v>684</v>
      </c>
      <c r="B21" s="16" t="s">
        <v>8</v>
      </c>
      <c r="C21" s="19">
        <v>2</v>
      </c>
    </row>
    <row r="22" spans="1:3" ht="27" customHeight="1" x14ac:dyDescent="0.2">
      <c r="A22" s="15" t="s">
        <v>685</v>
      </c>
      <c r="B22" s="16" t="s">
        <v>8</v>
      </c>
      <c r="C22" s="19">
        <v>1</v>
      </c>
    </row>
    <row r="23" spans="1:3" ht="30.6" customHeight="1" x14ac:dyDescent="0.2">
      <c r="A23" s="15" t="s">
        <v>686</v>
      </c>
      <c r="B23" s="16" t="s">
        <v>8</v>
      </c>
      <c r="C23" s="19">
        <v>10</v>
      </c>
    </row>
    <row r="24" spans="1:3" ht="27" customHeight="1" x14ac:dyDescent="0.2">
      <c r="A24" s="15" t="s">
        <v>687</v>
      </c>
      <c r="B24" s="16" t="s">
        <v>8</v>
      </c>
      <c r="C24" s="19">
        <v>10</v>
      </c>
    </row>
    <row r="25" spans="1:3" ht="17.25" customHeight="1" x14ac:dyDescent="0.2">
      <c r="A25" s="15" t="s">
        <v>688</v>
      </c>
      <c r="B25" s="16" t="s">
        <v>8</v>
      </c>
      <c r="C25" s="19">
        <v>2</v>
      </c>
    </row>
    <row r="26" spans="1:3" ht="30.6" customHeight="1" x14ac:dyDescent="0.2">
      <c r="A26" s="15" t="s">
        <v>689</v>
      </c>
      <c r="B26" s="16" t="s">
        <v>8</v>
      </c>
      <c r="C26" s="19">
        <v>2</v>
      </c>
    </row>
    <row r="27" spans="1:3" ht="30.6" customHeight="1" x14ac:dyDescent="0.2">
      <c r="A27" s="15" t="s">
        <v>690</v>
      </c>
      <c r="B27" s="16" t="s">
        <v>8</v>
      </c>
      <c r="C27" s="19">
        <v>1</v>
      </c>
    </row>
    <row r="28" spans="1:3" ht="30.6" customHeight="1" x14ac:dyDescent="0.2">
      <c r="A28" s="15" t="s">
        <v>691</v>
      </c>
      <c r="B28" s="16" t="s">
        <v>8</v>
      </c>
      <c r="C28" s="19">
        <v>1</v>
      </c>
    </row>
    <row r="29" spans="1:3" ht="38.25" customHeight="1" x14ac:dyDescent="0.2">
      <c r="A29" s="15" t="s">
        <v>692</v>
      </c>
      <c r="B29" s="16" t="s">
        <v>208</v>
      </c>
      <c r="C29" s="17">
        <f>1+0.25</f>
        <v>1.25</v>
      </c>
    </row>
    <row r="30" spans="1:3" ht="34.5" customHeight="1" x14ac:dyDescent="0.2">
      <c r="A30" s="15" t="s">
        <v>675</v>
      </c>
      <c r="B30" s="16" t="s">
        <v>208</v>
      </c>
      <c r="C30" s="19">
        <f>C29*1.01</f>
        <v>1.2625</v>
      </c>
    </row>
    <row r="31" spans="1:3" ht="30.6" customHeight="1" x14ac:dyDescent="0.2">
      <c r="A31" s="15" t="s">
        <v>693</v>
      </c>
      <c r="B31" s="16" t="s">
        <v>208</v>
      </c>
      <c r="C31" s="19">
        <f>0.25*1.01</f>
        <v>0.2525</v>
      </c>
    </row>
    <row r="32" spans="1:3" ht="37.5" customHeight="1" x14ac:dyDescent="0.2">
      <c r="A32" s="15" t="s">
        <v>694</v>
      </c>
      <c r="B32" s="16" t="s">
        <v>208</v>
      </c>
      <c r="C32" s="17">
        <f>7+7</f>
        <v>14</v>
      </c>
    </row>
    <row r="33" spans="1:3" ht="30.6" customHeight="1" x14ac:dyDescent="0.2">
      <c r="A33" s="15" t="s">
        <v>695</v>
      </c>
      <c r="B33" s="16" t="s">
        <v>208</v>
      </c>
      <c r="C33" s="19">
        <f>7*1.01</f>
        <v>7.07</v>
      </c>
    </row>
    <row r="34" spans="1:3" ht="30.6" customHeight="1" x14ac:dyDescent="0.2">
      <c r="A34" s="15" t="s">
        <v>696</v>
      </c>
      <c r="B34" s="16" t="s">
        <v>208</v>
      </c>
      <c r="C34" s="19">
        <f>7*1.01</f>
        <v>7.07</v>
      </c>
    </row>
    <row r="35" spans="1:3" ht="19.899999999999999" customHeight="1" x14ac:dyDescent="0.2">
      <c r="A35" s="280" t="s">
        <v>672</v>
      </c>
      <c r="B35" s="16"/>
      <c r="C35" s="17"/>
    </row>
    <row r="36" spans="1:3" ht="38.25" x14ac:dyDescent="0.2">
      <c r="A36" s="15" t="s">
        <v>697</v>
      </c>
      <c r="B36" s="16" t="s">
        <v>8</v>
      </c>
      <c r="C36" s="17">
        <v>1</v>
      </c>
    </row>
    <row r="37" spans="1:3" ht="29.45" customHeight="1" x14ac:dyDescent="0.2">
      <c r="A37" s="15" t="s">
        <v>674</v>
      </c>
      <c r="B37" s="16" t="s">
        <v>8</v>
      </c>
      <c r="C37" s="19">
        <v>1</v>
      </c>
    </row>
    <row r="38" spans="1:3" ht="29.45" customHeight="1" x14ac:dyDescent="0.2">
      <c r="A38" s="15" t="s">
        <v>698</v>
      </c>
      <c r="B38" s="16" t="s">
        <v>8</v>
      </c>
      <c r="C38" s="19">
        <v>1</v>
      </c>
    </row>
    <row r="39" spans="1:3" ht="29.45" customHeight="1" x14ac:dyDescent="0.2">
      <c r="A39" s="15" t="s">
        <v>699</v>
      </c>
      <c r="B39" s="16" t="s">
        <v>8</v>
      </c>
      <c r="C39" s="19">
        <v>1</v>
      </c>
    </row>
    <row r="40" spans="1:3" ht="29.45" customHeight="1" x14ac:dyDescent="0.2">
      <c r="A40" s="15" t="s">
        <v>700</v>
      </c>
      <c r="B40" s="16" t="s">
        <v>8</v>
      </c>
      <c r="C40" s="19">
        <v>1</v>
      </c>
    </row>
    <row r="41" spans="1:3" ht="29.45" customHeight="1" x14ac:dyDescent="0.2">
      <c r="A41" s="15" t="s">
        <v>713</v>
      </c>
      <c r="B41" s="16" t="s">
        <v>8</v>
      </c>
      <c r="C41" s="19">
        <v>1</v>
      </c>
    </row>
    <row r="42" spans="1:3" ht="29.45" customHeight="1" x14ac:dyDescent="0.2">
      <c r="A42" s="15" t="s">
        <v>673</v>
      </c>
      <c r="B42" s="16" t="s">
        <v>8</v>
      </c>
      <c r="C42" s="19">
        <v>1</v>
      </c>
    </row>
    <row r="43" spans="1:3" ht="29.45" customHeight="1" x14ac:dyDescent="0.2">
      <c r="A43" s="15" t="s">
        <v>709</v>
      </c>
      <c r="B43" s="16" t="s">
        <v>8</v>
      </c>
      <c r="C43" s="19">
        <v>1</v>
      </c>
    </row>
    <row r="44" spans="1:3" ht="41.45" customHeight="1" x14ac:dyDescent="0.2">
      <c r="A44" s="15" t="s">
        <v>701</v>
      </c>
      <c r="B44" s="16" t="s">
        <v>8</v>
      </c>
      <c r="C44" s="19">
        <v>1</v>
      </c>
    </row>
    <row r="45" spans="1:3" ht="28.9" customHeight="1" x14ac:dyDescent="0.2">
      <c r="A45" s="15"/>
      <c r="B45" s="16"/>
      <c r="C45" s="17"/>
    </row>
    <row r="46" spans="1:3" ht="28.9" customHeight="1" x14ac:dyDescent="0.2">
      <c r="A46" s="279" t="s">
        <v>702</v>
      </c>
      <c r="B46" s="16"/>
      <c r="C46" s="17"/>
    </row>
    <row r="47" spans="1:3" ht="28.9" customHeight="1" x14ac:dyDescent="0.2">
      <c r="A47" s="280" t="s">
        <v>666</v>
      </c>
      <c r="B47" s="20"/>
      <c r="C47" s="20"/>
    </row>
    <row r="48" spans="1:3" ht="52.5" customHeight="1" x14ac:dyDescent="0.2">
      <c r="A48" s="15" t="s">
        <v>667</v>
      </c>
      <c r="B48" s="16" t="s">
        <v>0</v>
      </c>
      <c r="C48" s="17">
        <v>8.5</v>
      </c>
    </row>
    <row r="49" spans="1:3" ht="28.9" customHeight="1" x14ac:dyDescent="0.2">
      <c r="A49" s="15" t="s">
        <v>703</v>
      </c>
      <c r="B49" s="16" t="s">
        <v>0</v>
      </c>
      <c r="C49" s="17">
        <v>0.2</v>
      </c>
    </row>
    <row r="50" spans="1:3" ht="36.75" customHeight="1" x14ac:dyDescent="0.2">
      <c r="A50" s="15" t="s">
        <v>677</v>
      </c>
      <c r="B50" s="16" t="s">
        <v>0</v>
      </c>
      <c r="C50" s="17">
        <f>4.2+0.25</f>
        <v>4.45</v>
      </c>
    </row>
    <row r="51" spans="1:3" ht="24" customHeight="1" x14ac:dyDescent="0.2">
      <c r="A51" s="15" t="s">
        <v>668</v>
      </c>
      <c r="B51" s="16" t="s">
        <v>669</v>
      </c>
      <c r="C51" s="17">
        <f>C50*1.6</f>
        <v>7.120000000000001</v>
      </c>
    </row>
    <row r="52" spans="1:3" ht="24" customHeight="1" x14ac:dyDescent="0.2">
      <c r="A52" s="15" t="s">
        <v>704</v>
      </c>
      <c r="B52" s="16" t="s">
        <v>0</v>
      </c>
      <c r="C52" s="17">
        <v>0.2</v>
      </c>
    </row>
    <row r="53" spans="1:3" ht="28.9" customHeight="1" x14ac:dyDescent="0.2">
      <c r="A53" s="280" t="s">
        <v>670</v>
      </c>
      <c r="B53" s="16"/>
      <c r="C53" s="17"/>
    </row>
    <row r="54" spans="1:3" ht="28.9" customHeight="1" x14ac:dyDescent="0.2">
      <c r="A54" s="15" t="s">
        <v>705</v>
      </c>
      <c r="B54" s="16" t="s">
        <v>208</v>
      </c>
      <c r="C54" s="17">
        <v>10</v>
      </c>
    </row>
    <row r="55" spans="1:3" ht="41.25" customHeight="1" x14ac:dyDescent="0.2">
      <c r="A55" s="15" t="s">
        <v>706</v>
      </c>
      <c r="B55" s="16" t="s">
        <v>208</v>
      </c>
      <c r="C55" s="19">
        <f>C54*1.01</f>
        <v>10.1</v>
      </c>
    </row>
    <row r="56" spans="1:3" ht="28.9" customHeight="1" x14ac:dyDescent="0.2">
      <c r="A56" s="280" t="s">
        <v>672</v>
      </c>
      <c r="B56" s="16"/>
      <c r="C56" s="17"/>
    </row>
    <row r="57" spans="1:3" ht="28.9" customHeight="1" x14ac:dyDescent="0.2">
      <c r="A57" s="15" t="s">
        <v>708</v>
      </c>
      <c r="B57" s="16" t="s">
        <v>8</v>
      </c>
      <c r="C57" s="17">
        <v>1</v>
      </c>
    </row>
    <row r="58" spans="1:3" ht="28.9" customHeight="1" x14ac:dyDescent="0.2">
      <c r="A58" s="15" t="s">
        <v>710</v>
      </c>
      <c r="B58" s="16" t="s">
        <v>8</v>
      </c>
      <c r="C58" s="19">
        <v>1</v>
      </c>
    </row>
    <row r="59" spans="1:3" ht="28.9" customHeight="1" x14ac:dyDescent="0.2">
      <c r="A59" s="15" t="s">
        <v>711</v>
      </c>
      <c r="B59" s="16" t="s">
        <v>8</v>
      </c>
      <c r="C59" s="19">
        <v>1</v>
      </c>
    </row>
    <row r="60" spans="1:3" ht="28.9" customHeight="1" x14ac:dyDescent="0.2">
      <c r="A60" s="15" t="s">
        <v>712</v>
      </c>
      <c r="B60" s="16" t="s">
        <v>8</v>
      </c>
      <c r="C60" s="19">
        <v>1</v>
      </c>
    </row>
    <row r="61" spans="1:3" ht="28.9" customHeight="1" x14ac:dyDescent="0.2">
      <c r="A61" s="15" t="s">
        <v>714</v>
      </c>
      <c r="B61" s="16" t="s">
        <v>8</v>
      </c>
      <c r="C61" s="19">
        <v>2</v>
      </c>
    </row>
    <row r="62" spans="1:3" ht="28.9" customHeight="1" x14ac:dyDescent="0.2">
      <c r="A62" s="15" t="s">
        <v>673</v>
      </c>
      <c r="B62" s="16" t="s">
        <v>8</v>
      </c>
      <c r="C62" s="19">
        <v>1</v>
      </c>
    </row>
    <row r="63" spans="1:3" ht="28.9" customHeight="1" x14ac:dyDescent="0.2">
      <c r="A63" s="15" t="s">
        <v>707</v>
      </c>
      <c r="B63" s="16" t="s">
        <v>6</v>
      </c>
      <c r="C63" s="19">
        <v>26.96</v>
      </c>
    </row>
    <row r="64" spans="1:3" ht="28.9" customHeight="1" x14ac:dyDescent="0.2">
      <c r="A64" s="15" t="s">
        <v>709</v>
      </c>
      <c r="B64" s="16" t="s">
        <v>8</v>
      </c>
      <c r="C64" s="19">
        <v>1</v>
      </c>
    </row>
    <row r="65" spans="1:3" ht="18.600000000000001" customHeight="1" x14ac:dyDescent="0.2">
      <c r="A65" s="15" t="s">
        <v>715</v>
      </c>
      <c r="B65" s="16" t="s">
        <v>8</v>
      </c>
      <c r="C65" s="17">
        <f>17*2</f>
        <v>34</v>
      </c>
    </row>
    <row r="66" spans="1:3" x14ac:dyDescent="0.2">
      <c r="A66" s="20" t="s">
        <v>716</v>
      </c>
      <c r="B66" s="21" t="s">
        <v>8</v>
      </c>
      <c r="C66" s="21">
        <v>34</v>
      </c>
    </row>
    <row r="67" spans="1:3" x14ac:dyDescent="0.2">
      <c r="A67" s="20" t="s">
        <v>717</v>
      </c>
      <c r="B67" s="21" t="s">
        <v>0</v>
      </c>
      <c r="C67" s="21">
        <v>0.02</v>
      </c>
    </row>
  </sheetData>
  <mergeCells count="4">
    <mergeCell ref="A2:A4"/>
    <mergeCell ref="B2:B4"/>
    <mergeCell ref="C2:C4"/>
    <mergeCell ref="A1:C1"/>
  </mergeCells>
  <pageMargins left="0.35433070866141736" right="0.27559055118110237" top="0.47244094488188981" bottom="0.39370078740157483" header="0.23622047244094491" footer="0.19685039370078741"/>
  <pageSetup paperSize="9" fitToHeight="10000" orientation="landscape" r:id="rId1"/>
  <headerFooter alignWithMargins="0">
    <oddHeader>&amp;LГранд-Смета (вер.7.3)</oddHead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  <pageSetUpPr fitToPage="1"/>
  </sheetPr>
  <dimension ref="A1:E9"/>
  <sheetViews>
    <sheetView zoomScaleNormal="100" workbookViewId="0">
      <selection activeCell="C19" sqref="C19"/>
    </sheetView>
  </sheetViews>
  <sheetFormatPr defaultColWidth="9.140625" defaultRowHeight="15" x14ac:dyDescent="0.25"/>
  <cols>
    <col min="1" max="1" width="9.140625" style="10"/>
    <col min="2" max="2" width="6" style="10" customWidth="1"/>
    <col min="3" max="3" width="56.7109375" style="10" customWidth="1"/>
    <col min="4" max="4" width="9.140625" style="10"/>
    <col min="5" max="5" width="9.85546875" style="10" customWidth="1"/>
    <col min="6" max="6" width="10.5703125" style="10" bestFit="1" customWidth="1"/>
    <col min="7" max="16384" width="9.140625" style="10"/>
  </cols>
  <sheetData>
    <row r="1" spans="1:5" s="7" customFormat="1" ht="18.75" customHeight="1" x14ac:dyDescent="0.25">
      <c r="B1" s="450" t="s">
        <v>236</v>
      </c>
      <c r="C1" s="450"/>
      <c r="D1" s="450"/>
      <c r="E1" s="450"/>
    </row>
    <row r="2" spans="1:5" s="7" customFormat="1" ht="23.25" x14ac:dyDescent="0.25">
      <c r="B2" s="394" t="s">
        <v>720</v>
      </c>
      <c r="C2" s="394"/>
      <c r="D2" s="394"/>
      <c r="E2" s="394"/>
    </row>
    <row r="3" spans="1:5" s="263" customFormat="1" ht="37.5" customHeight="1" x14ac:dyDescent="0.25">
      <c r="A3" s="448"/>
      <c r="B3" s="449" t="s">
        <v>409</v>
      </c>
      <c r="C3" s="449" t="s">
        <v>410</v>
      </c>
      <c r="D3" s="449" t="s">
        <v>13</v>
      </c>
      <c r="E3" s="449" t="s">
        <v>411</v>
      </c>
    </row>
    <row r="4" spans="1:5" s="263" customFormat="1" x14ac:dyDescent="0.25">
      <c r="A4" s="448"/>
      <c r="B4" s="449"/>
      <c r="C4" s="449"/>
      <c r="D4" s="449"/>
      <c r="E4" s="449"/>
    </row>
    <row r="5" spans="1:5" ht="44.25" customHeight="1" x14ac:dyDescent="0.25">
      <c r="B5" s="55"/>
      <c r="C5" s="5" t="s">
        <v>773</v>
      </c>
      <c r="D5" s="55" t="s">
        <v>7</v>
      </c>
      <c r="E5" s="55">
        <v>269.8</v>
      </c>
    </row>
    <row r="6" spans="1:5" ht="21" customHeight="1" x14ac:dyDescent="0.25">
      <c r="B6" s="282"/>
      <c r="C6" s="283" t="s">
        <v>853</v>
      </c>
      <c r="D6" s="12" t="s">
        <v>6</v>
      </c>
      <c r="E6" s="12">
        <f>E5*0.06</f>
        <v>16.187999999999999</v>
      </c>
    </row>
    <row r="7" spans="1:5" ht="21" customHeight="1" x14ac:dyDescent="0.25">
      <c r="B7" s="6"/>
      <c r="C7" s="5" t="s">
        <v>756</v>
      </c>
      <c r="D7" s="55" t="s">
        <v>0</v>
      </c>
      <c r="E7" s="55">
        <f>E5*0.2*1.1</f>
        <v>59.356000000000016</v>
      </c>
    </row>
    <row r="8" spans="1:5" ht="29.25" customHeight="1" x14ac:dyDescent="0.25">
      <c r="B8" s="55"/>
      <c r="C8" s="5" t="s">
        <v>754</v>
      </c>
      <c r="D8" s="55" t="s">
        <v>7</v>
      </c>
      <c r="E8" s="55">
        <f>E5</f>
        <v>269.8</v>
      </c>
    </row>
    <row r="9" spans="1:5" ht="21" customHeight="1" x14ac:dyDescent="0.25">
      <c r="B9" s="282"/>
      <c r="C9" s="283" t="s">
        <v>731</v>
      </c>
      <c r="D9" s="282" t="s">
        <v>669</v>
      </c>
      <c r="E9" s="282">
        <f>E8*0.1*1.26*1.5</f>
        <v>50.992200000000011</v>
      </c>
    </row>
  </sheetData>
  <mergeCells count="7">
    <mergeCell ref="B2:E2"/>
    <mergeCell ref="B1:E1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  <pageSetUpPr fitToPage="1"/>
  </sheetPr>
  <dimension ref="A1:E52"/>
  <sheetViews>
    <sheetView zoomScaleNormal="100" workbookViewId="0">
      <selection activeCell="G46" sqref="G46"/>
    </sheetView>
  </sheetViews>
  <sheetFormatPr defaultColWidth="9.140625" defaultRowHeight="15" x14ac:dyDescent="0.25"/>
  <cols>
    <col min="1" max="1" width="9.140625" style="10"/>
    <col min="2" max="2" width="6" style="10" customWidth="1"/>
    <col min="3" max="3" width="56.7109375" style="10" customWidth="1"/>
    <col min="4" max="4" width="9.140625" style="10"/>
    <col min="5" max="5" width="9.85546875" style="10" customWidth="1"/>
    <col min="6" max="16384" width="9.140625" style="10"/>
  </cols>
  <sheetData>
    <row r="1" spans="1:5" s="7" customFormat="1" ht="40.5" customHeight="1" x14ac:dyDescent="0.25">
      <c r="B1" s="450" t="s">
        <v>236</v>
      </c>
      <c r="C1" s="450"/>
      <c r="D1" s="450"/>
      <c r="E1" s="450"/>
    </row>
    <row r="2" spans="1:5" s="7" customFormat="1" ht="23.25" x14ac:dyDescent="0.25">
      <c r="B2" s="394" t="s">
        <v>720</v>
      </c>
      <c r="C2" s="394"/>
      <c r="D2" s="394"/>
      <c r="E2" s="394"/>
    </row>
    <row r="3" spans="1:5" s="263" customFormat="1" ht="37.5" customHeight="1" x14ac:dyDescent="0.25">
      <c r="A3" s="448"/>
      <c r="B3" s="449" t="s">
        <v>409</v>
      </c>
      <c r="C3" s="449" t="s">
        <v>410</v>
      </c>
      <c r="D3" s="449" t="s">
        <v>13</v>
      </c>
      <c r="E3" s="449" t="s">
        <v>411</v>
      </c>
    </row>
    <row r="4" spans="1:5" s="263" customFormat="1" x14ac:dyDescent="0.25">
      <c r="A4" s="448"/>
      <c r="B4" s="449"/>
      <c r="C4" s="449"/>
      <c r="D4" s="449"/>
      <c r="E4" s="449"/>
    </row>
    <row r="5" spans="1:5" s="263" customFormat="1" ht="30" x14ac:dyDescent="0.25">
      <c r="B5" s="55"/>
      <c r="C5" s="55" t="s">
        <v>741</v>
      </c>
      <c r="D5" s="55"/>
      <c r="E5" s="55"/>
    </row>
    <row r="6" spans="1:5" ht="44.25" customHeight="1" x14ac:dyDescent="0.25">
      <c r="B6" s="55"/>
      <c r="C6" s="5" t="s">
        <v>738</v>
      </c>
      <c r="D6" s="55" t="s">
        <v>7</v>
      </c>
      <c r="E6" s="55">
        <f>20.5+172.2</f>
        <v>192.7</v>
      </c>
    </row>
    <row r="7" spans="1:5" ht="26.25" customHeight="1" x14ac:dyDescent="0.25">
      <c r="B7" s="6"/>
      <c r="C7" s="5" t="s">
        <v>755</v>
      </c>
      <c r="D7" s="55" t="s">
        <v>7</v>
      </c>
      <c r="E7" s="55">
        <v>192.7</v>
      </c>
    </row>
    <row r="8" spans="1:5" ht="27" customHeight="1" x14ac:dyDescent="0.25">
      <c r="B8" s="8"/>
      <c r="C8" s="5" t="s">
        <v>732</v>
      </c>
      <c r="D8" s="55" t="s">
        <v>7</v>
      </c>
      <c r="E8" s="55">
        <f>E7*1.01</f>
        <v>194.62699999999998</v>
      </c>
    </row>
    <row r="9" spans="1:5" ht="24.75" customHeight="1" x14ac:dyDescent="0.25">
      <c r="B9" s="6"/>
      <c r="C9" s="5" t="s">
        <v>733</v>
      </c>
      <c r="D9" s="55" t="s">
        <v>0</v>
      </c>
      <c r="E9" s="55">
        <f>E6*0.03*1.02</f>
        <v>5.8966199999999995</v>
      </c>
    </row>
    <row r="10" spans="1:5" ht="29.25" customHeight="1" x14ac:dyDescent="0.25">
      <c r="B10" s="8"/>
      <c r="C10" s="5" t="s">
        <v>754</v>
      </c>
      <c r="D10" s="55" t="s">
        <v>0</v>
      </c>
      <c r="E10" s="55">
        <f>E7*0.1</f>
        <v>19.27</v>
      </c>
    </row>
    <row r="11" spans="1:5" ht="27.75" customHeight="1" x14ac:dyDescent="0.25">
      <c r="B11" s="6"/>
      <c r="C11" s="5" t="s">
        <v>731</v>
      </c>
      <c r="D11" s="55" t="s">
        <v>669</v>
      </c>
      <c r="E11" s="55">
        <f>E10*0.1*1.26*1.5</f>
        <v>3.6420300000000001</v>
      </c>
    </row>
    <row r="12" spans="1:5" ht="29.25" customHeight="1" x14ac:dyDescent="0.25">
      <c r="B12" s="8"/>
      <c r="C12" s="5" t="s">
        <v>744</v>
      </c>
      <c r="D12" s="55" t="s">
        <v>0</v>
      </c>
      <c r="E12" s="55">
        <f>E6*0.15</f>
        <v>28.904999999999998</v>
      </c>
    </row>
    <row r="13" spans="1:5" ht="26.25" customHeight="1" x14ac:dyDescent="0.25">
      <c r="B13" s="55"/>
      <c r="C13" s="5" t="s">
        <v>727</v>
      </c>
      <c r="D13" s="55" t="s">
        <v>669</v>
      </c>
      <c r="E13" s="55">
        <f>0.15*E6*1.4*1.26</f>
        <v>50.988419999999991</v>
      </c>
    </row>
    <row r="14" spans="1:5" ht="26.25" customHeight="1" x14ac:dyDescent="0.25">
      <c r="B14" s="6"/>
      <c r="C14" s="5" t="s">
        <v>749</v>
      </c>
      <c r="D14" s="55" t="s">
        <v>7</v>
      </c>
      <c r="E14" s="55">
        <v>192.7</v>
      </c>
    </row>
    <row r="15" spans="1:5" ht="23.25" customHeight="1" x14ac:dyDescent="0.25">
      <c r="B15" s="55"/>
      <c r="C15" s="5" t="s">
        <v>729</v>
      </c>
      <c r="D15" s="55" t="s">
        <v>7</v>
      </c>
      <c r="E15" s="55">
        <f>1.2*E14</f>
        <v>231.23999999999998</v>
      </c>
    </row>
    <row r="16" spans="1:5" ht="44.25" customHeight="1" x14ac:dyDescent="0.25">
      <c r="B16" s="55"/>
      <c r="C16" s="5" t="s">
        <v>739</v>
      </c>
      <c r="D16" s="55" t="s">
        <v>7</v>
      </c>
      <c r="E16" s="55">
        <f>13.5+131.2</f>
        <v>144.69999999999999</v>
      </c>
    </row>
    <row r="17" spans="2:5" ht="26.25" customHeight="1" x14ac:dyDescent="0.25">
      <c r="B17" s="6"/>
      <c r="C17" s="5" t="s">
        <v>755</v>
      </c>
      <c r="D17" s="55" t="s">
        <v>7</v>
      </c>
      <c r="E17" s="55">
        <v>144.69999999999999</v>
      </c>
    </row>
    <row r="18" spans="2:5" ht="21" customHeight="1" x14ac:dyDescent="0.25">
      <c r="B18" s="6"/>
      <c r="C18" s="5" t="s">
        <v>732</v>
      </c>
      <c r="D18" s="55" t="s">
        <v>7</v>
      </c>
      <c r="E18" s="55">
        <f>E17*1.01</f>
        <v>146.14699999999999</v>
      </c>
    </row>
    <row r="19" spans="2:5" ht="21" customHeight="1" x14ac:dyDescent="0.25">
      <c r="B19" s="6"/>
      <c r="C19" s="5" t="s">
        <v>733</v>
      </c>
      <c r="D19" s="55" t="s">
        <v>0</v>
      </c>
      <c r="E19" s="55">
        <f>E16*0.03*1.02</f>
        <v>4.4278199999999996</v>
      </c>
    </row>
    <row r="20" spans="2:5" ht="29.25" customHeight="1" x14ac:dyDescent="0.25">
      <c r="B20" s="8"/>
      <c r="C20" s="5" t="s">
        <v>754</v>
      </c>
      <c r="D20" s="55" t="s">
        <v>7</v>
      </c>
      <c r="E20" s="55">
        <f>144.7</f>
        <v>144.69999999999999</v>
      </c>
    </row>
    <row r="21" spans="2:5" ht="21" customHeight="1" x14ac:dyDescent="0.25">
      <c r="B21" s="6"/>
      <c r="C21" s="5" t="s">
        <v>734</v>
      </c>
      <c r="D21" s="55" t="s">
        <v>669</v>
      </c>
      <c r="E21" s="55">
        <f>E20*0.05*1.26*1.5</f>
        <v>13.674149999999999</v>
      </c>
    </row>
    <row r="22" spans="2:5" ht="29.25" customHeight="1" x14ac:dyDescent="0.25">
      <c r="B22" s="8"/>
      <c r="C22" s="5" t="s">
        <v>744</v>
      </c>
      <c r="D22" s="55" t="s">
        <v>0</v>
      </c>
      <c r="E22" s="55">
        <f>E16*0.1</f>
        <v>14.469999999999999</v>
      </c>
    </row>
    <row r="23" spans="2:5" ht="24.75" customHeight="1" x14ac:dyDescent="0.25">
      <c r="B23" s="6"/>
      <c r="C23" s="5" t="s">
        <v>730</v>
      </c>
      <c r="D23" s="55" t="s">
        <v>669</v>
      </c>
      <c r="E23" s="55">
        <f>0.1*E16*1.4*1.26</f>
        <v>25.525079999999996</v>
      </c>
    </row>
    <row r="24" spans="2:5" ht="26.25" customHeight="1" x14ac:dyDescent="0.25">
      <c r="B24" s="6"/>
      <c r="C24" s="5" t="s">
        <v>749</v>
      </c>
      <c r="D24" s="55" t="s">
        <v>7</v>
      </c>
      <c r="E24" s="55">
        <v>144.69999999999999</v>
      </c>
    </row>
    <row r="25" spans="2:5" ht="24.75" customHeight="1" x14ac:dyDescent="0.25">
      <c r="B25" s="6"/>
      <c r="C25" s="5" t="s">
        <v>729</v>
      </c>
      <c r="D25" s="55" t="s">
        <v>7</v>
      </c>
      <c r="E25" s="55">
        <f>1.2*E24</f>
        <v>173.64</v>
      </c>
    </row>
    <row r="26" spans="2:5" ht="21" customHeight="1" x14ac:dyDescent="0.25">
      <c r="B26" s="34"/>
      <c r="C26" s="284" t="s">
        <v>721</v>
      </c>
      <c r="D26" s="285" t="s">
        <v>208</v>
      </c>
      <c r="E26" s="285">
        <v>153</v>
      </c>
    </row>
    <row r="27" spans="2:5" x14ac:dyDescent="0.25">
      <c r="B27" s="9"/>
      <c r="C27" s="286" t="s">
        <v>722</v>
      </c>
      <c r="D27" s="287" t="s">
        <v>51</v>
      </c>
      <c r="E27" s="287">
        <v>153</v>
      </c>
    </row>
    <row r="28" spans="2:5" x14ac:dyDescent="0.25">
      <c r="B28" s="6"/>
      <c r="C28" s="286" t="s">
        <v>723</v>
      </c>
      <c r="D28" s="287" t="s">
        <v>0</v>
      </c>
      <c r="E28" s="287">
        <f>E26*0.047</f>
        <v>7.1909999999999998</v>
      </c>
    </row>
    <row r="29" spans="2:5" x14ac:dyDescent="0.25">
      <c r="B29" s="6"/>
      <c r="C29" s="5" t="s">
        <v>724</v>
      </c>
      <c r="D29" s="55" t="s">
        <v>208</v>
      </c>
      <c r="E29" s="55">
        <v>80</v>
      </c>
    </row>
    <row r="30" spans="2:5" x14ac:dyDescent="0.25">
      <c r="B30" s="6"/>
      <c r="C30" s="286" t="s">
        <v>725</v>
      </c>
      <c r="D30" s="287" t="s">
        <v>144</v>
      </c>
      <c r="E30" s="287">
        <v>80</v>
      </c>
    </row>
    <row r="31" spans="2:5" x14ac:dyDescent="0.25">
      <c r="B31" s="6"/>
      <c r="C31" s="286" t="s">
        <v>723</v>
      </c>
      <c r="D31" s="287" t="s">
        <v>0</v>
      </c>
      <c r="E31" s="287">
        <f>0.03*E29</f>
        <v>2.4</v>
      </c>
    </row>
    <row r="32" spans="2:5" s="263" customFormat="1" x14ac:dyDescent="0.25">
      <c r="B32" s="55"/>
      <c r="C32" s="55" t="s">
        <v>742</v>
      </c>
      <c r="D32" s="55"/>
      <c r="E32" s="55"/>
    </row>
    <row r="33" spans="2:5" ht="44.25" customHeight="1" x14ac:dyDescent="0.25">
      <c r="B33" s="55"/>
      <c r="C33" s="5" t="s">
        <v>743</v>
      </c>
      <c r="D33" s="55" t="s">
        <v>7</v>
      </c>
      <c r="E33" s="55">
        <f>27.4+222.8</f>
        <v>250.20000000000002</v>
      </c>
    </row>
    <row r="34" spans="2:5" x14ac:dyDescent="0.25">
      <c r="B34" s="6"/>
      <c r="C34" s="5" t="s">
        <v>755</v>
      </c>
      <c r="D34" s="55" t="s">
        <v>7</v>
      </c>
      <c r="E34" s="55">
        <v>250.2</v>
      </c>
    </row>
    <row r="35" spans="2:5" x14ac:dyDescent="0.25">
      <c r="B35" s="6"/>
      <c r="C35" s="5" t="s">
        <v>732</v>
      </c>
      <c r="D35" s="55" t="s">
        <v>7</v>
      </c>
      <c r="E35" s="55">
        <f>E34*1.01</f>
        <v>252.702</v>
      </c>
    </row>
    <row r="36" spans="2:5" x14ac:dyDescent="0.25">
      <c r="B36" s="6"/>
      <c r="C36" s="5" t="s">
        <v>733</v>
      </c>
      <c r="D36" s="55" t="s">
        <v>0</v>
      </c>
      <c r="E36" s="55">
        <f>E33*0.03*1.02</f>
        <v>7.6561200000000005</v>
      </c>
    </row>
    <row r="37" spans="2:5" x14ac:dyDescent="0.25">
      <c r="B37" s="6"/>
      <c r="C37" s="5" t="s">
        <v>754</v>
      </c>
      <c r="D37" s="55" t="s">
        <v>7</v>
      </c>
      <c r="E37" s="55">
        <f>E33</f>
        <v>250.20000000000002</v>
      </c>
    </row>
    <row r="38" spans="2:5" x14ac:dyDescent="0.25">
      <c r="B38" s="6"/>
      <c r="C38" s="5" t="s">
        <v>731</v>
      </c>
      <c r="D38" s="55" t="s">
        <v>669</v>
      </c>
      <c r="E38" s="55">
        <f>E37*0.1*1.26*1.5</f>
        <v>47.287800000000004</v>
      </c>
    </row>
    <row r="39" spans="2:5" x14ac:dyDescent="0.25">
      <c r="B39" s="6"/>
      <c r="C39" s="5" t="s">
        <v>744</v>
      </c>
      <c r="D39" s="55" t="s">
        <v>0</v>
      </c>
      <c r="E39" s="55">
        <f>E33*0.15</f>
        <v>37.53</v>
      </c>
    </row>
    <row r="40" spans="2:5" x14ac:dyDescent="0.25">
      <c r="B40" s="6"/>
      <c r="C40" s="5" t="s">
        <v>727</v>
      </c>
      <c r="D40" s="55" t="s">
        <v>669</v>
      </c>
      <c r="E40" s="55">
        <f>0.15*E33*1.4*1.26</f>
        <v>66.202920000000006</v>
      </c>
    </row>
    <row r="41" spans="2:5" x14ac:dyDescent="0.25">
      <c r="B41" s="6"/>
      <c r="C41" s="5" t="s">
        <v>749</v>
      </c>
      <c r="D41" s="55" t="s">
        <v>7</v>
      </c>
      <c r="E41" s="55">
        <v>250.2</v>
      </c>
    </row>
    <row r="42" spans="2:5" x14ac:dyDescent="0.25">
      <c r="B42" s="6"/>
      <c r="C42" s="5" t="s">
        <v>729</v>
      </c>
      <c r="D42" s="55" t="s">
        <v>7</v>
      </c>
      <c r="E42" s="55">
        <f>1.2*E41</f>
        <v>300.23999999999995</v>
      </c>
    </row>
    <row r="43" spans="2:5" ht="21.75" customHeight="1" x14ac:dyDescent="0.25">
      <c r="B43" s="55"/>
      <c r="C43" s="5" t="s">
        <v>751</v>
      </c>
      <c r="D43" s="55" t="s">
        <v>7</v>
      </c>
      <c r="E43" s="55">
        <v>140.25</v>
      </c>
    </row>
    <row r="44" spans="2:5" x14ac:dyDescent="0.25">
      <c r="B44" s="6"/>
      <c r="C44" s="28" t="s">
        <v>744</v>
      </c>
      <c r="D44" s="29" t="s">
        <v>0</v>
      </c>
      <c r="E44" s="30">
        <f>E43*0.15</f>
        <v>21.037499999999998</v>
      </c>
    </row>
    <row r="45" spans="2:5" x14ac:dyDescent="0.25">
      <c r="B45" s="6"/>
      <c r="C45" s="31" t="s">
        <v>745</v>
      </c>
      <c r="D45" s="32" t="s">
        <v>669</v>
      </c>
      <c r="E45" s="33">
        <f>E44*1.4*1.26</f>
        <v>37.11014999999999</v>
      </c>
    </row>
    <row r="46" spans="2:5" x14ac:dyDescent="0.25">
      <c r="B46" s="6"/>
      <c r="C46" s="28" t="s">
        <v>746</v>
      </c>
      <c r="D46" s="29" t="s">
        <v>0</v>
      </c>
      <c r="E46" s="30">
        <f>E43*0.15</f>
        <v>21.037499999999998</v>
      </c>
    </row>
    <row r="47" spans="2:5" x14ac:dyDescent="0.25">
      <c r="B47" s="6"/>
      <c r="C47" s="31" t="s">
        <v>747</v>
      </c>
      <c r="D47" s="32" t="s">
        <v>0</v>
      </c>
      <c r="E47" s="33">
        <f>E46*1.012</f>
        <v>21.289949999999997</v>
      </c>
    </row>
    <row r="48" spans="2:5" x14ac:dyDescent="0.25">
      <c r="B48" s="6"/>
      <c r="C48" s="31" t="s">
        <v>748</v>
      </c>
      <c r="D48" s="32" t="s">
        <v>7</v>
      </c>
      <c r="E48" s="33">
        <f>E43*1.02</f>
        <v>143.05500000000001</v>
      </c>
    </row>
    <row r="49" spans="2:5" x14ac:dyDescent="0.25">
      <c r="B49" s="6"/>
      <c r="C49" s="26" t="s">
        <v>749</v>
      </c>
      <c r="D49" s="27" t="s">
        <v>7</v>
      </c>
      <c r="E49" s="30">
        <v>140.25</v>
      </c>
    </row>
    <row r="50" spans="2:5" x14ac:dyDescent="0.25">
      <c r="B50" s="6"/>
      <c r="C50" s="31" t="s">
        <v>750</v>
      </c>
      <c r="D50" s="32" t="s">
        <v>7</v>
      </c>
      <c r="E50" s="33">
        <f>1.2*E49</f>
        <v>168.29999999999998</v>
      </c>
    </row>
    <row r="51" spans="2:5" x14ac:dyDescent="0.25">
      <c r="B51" s="6"/>
      <c r="C51" s="28" t="s">
        <v>744</v>
      </c>
      <c r="D51" s="29" t="s">
        <v>0</v>
      </c>
      <c r="E51" s="30">
        <f>E43*0.1</f>
        <v>14.025</v>
      </c>
    </row>
    <row r="52" spans="2:5" x14ac:dyDescent="0.25">
      <c r="B52" s="6"/>
      <c r="C52" s="31" t="s">
        <v>757</v>
      </c>
      <c r="D52" s="32" t="s">
        <v>669</v>
      </c>
      <c r="E52" s="33">
        <f>E51*1.4*1.26</f>
        <v>24.740099999999998</v>
      </c>
    </row>
  </sheetData>
  <mergeCells count="7">
    <mergeCell ref="B2:E2"/>
    <mergeCell ref="B1:E1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  <pageSetUpPr fitToPage="1"/>
  </sheetPr>
  <dimension ref="A1:E17"/>
  <sheetViews>
    <sheetView zoomScale="85" zoomScaleNormal="85" workbookViewId="0">
      <selection activeCell="C23" sqref="C23"/>
    </sheetView>
  </sheetViews>
  <sheetFormatPr defaultColWidth="9.140625" defaultRowHeight="15" x14ac:dyDescent="0.25"/>
  <cols>
    <col min="1" max="1" width="9.140625" style="10"/>
    <col min="2" max="2" width="6" style="10" customWidth="1"/>
    <col min="3" max="3" width="56.7109375" style="10" customWidth="1"/>
    <col min="4" max="4" width="9.140625" style="10"/>
    <col min="5" max="5" width="9.85546875" style="10" customWidth="1"/>
    <col min="6" max="16384" width="9.140625" style="10"/>
  </cols>
  <sheetData>
    <row r="1" spans="1:5" s="7" customFormat="1" ht="50.25" customHeight="1" x14ac:dyDescent="0.25">
      <c r="B1" s="450" t="s">
        <v>236</v>
      </c>
      <c r="C1" s="450"/>
      <c r="D1" s="450"/>
      <c r="E1" s="450"/>
    </row>
    <row r="2" spans="1:5" s="7" customFormat="1" ht="23.25" x14ac:dyDescent="0.25">
      <c r="B2" s="394" t="s">
        <v>720</v>
      </c>
      <c r="C2" s="394"/>
      <c r="D2" s="394"/>
      <c r="E2" s="394"/>
    </row>
    <row r="3" spans="1:5" s="263" customFormat="1" ht="37.5" customHeight="1" x14ac:dyDescent="0.25">
      <c r="A3" s="448"/>
      <c r="B3" s="449" t="s">
        <v>409</v>
      </c>
      <c r="C3" s="449" t="s">
        <v>410</v>
      </c>
      <c r="D3" s="449" t="s">
        <v>13</v>
      </c>
      <c r="E3" s="449" t="s">
        <v>411</v>
      </c>
    </row>
    <row r="4" spans="1:5" s="263" customFormat="1" x14ac:dyDescent="0.25">
      <c r="A4" s="448"/>
      <c r="B4" s="449"/>
      <c r="C4" s="449"/>
      <c r="D4" s="449"/>
      <c r="E4" s="449"/>
    </row>
    <row r="5" spans="1:5" s="263" customFormat="1" ht="30" x14ac:dyDescent="0.25">
      <c r="B5" s="55"/>
      <c r="C5" s="55" t="s">
        <v>741</v>
      </c>
      <c r="D5" s="55"/>
      <c r="E5" s="55"/>
    </row>
    <row r="6" spans="1:5" s="263" customFormat="1" x14ac:dyDescent="0.25">
      <c r="B6" s="55"/>
      <c r="C6" s="26" t="s">
        <v>735</v>
      </c>
      <c r="D6" s="27" t="s">
        <v>7</v>
      </c>
      <c r="E6" s="27">
        <v>946.8</v>
      </c>
    </row>
    <row r="7" spans="1:5" s="263" customFormat="1" x14ac:dyDescent="0.25">
      <c r="B7" s="55"/>
      <c r="C7" s="26" t="s">
        <v>736</v>
      </c>
      <c r="D7" s="27" t="s">
        <v>0</v>
      </c>
      <c r="E7" s="27">
        <f>E6*0.35</f>
        <v>331.37999999999994</v>
      </c>
    </row>
    <row r="8" spans="1:5" ht="21" customHeight="1" x14ac:dyDescent="0.25">
      <c r="B8" s="55"/>
      <c r="C8" s="5" t="s">
        <v>737</v>
      </c>
      <c r="D8" s="55" t="s">
        <v>7</v>
      </c>
      <c r="E8" s="55">
        <v>339.6</v>
      </c>
    </row>
    <row r="9" spans="1:5" ht="21" customHeight="1" x14ac:dyDescent="0.25">
      <c r="B9" s="6"/>
      <c r="C9" s="5" t="s">
        <v>753</v>
      </c>
      <c r="D9" s="55" t="s">
        <v>7</v>
      </c>
      <c r="E9" s="55">
        <v>339.6</v>
      </c>
    </row>
    <row r="10" spans="1:5" ht="30.75" customHeight="1" x14ac:dyDescent="0.25">
      <c r="B10" s="55"/>
      <c r="C10" s="5" t="s">
        <v>726</v>
      </c>
      <c r="D10" s="288" t="s">
        <v>669</v>
      </c>
      <c r="E10" s="55">
        <f>E8*0.0966</f>
        <v>32.805360000000007</v>
      </c>
    </row>
    <row r="11" spans="1:5" ht="29.25" customHeight="1" x14ac:dyDescent="0.25">
      <c r="B11" s="8"/>
      <c r="C11" s="5" t="s">
        <v>752</v>
      </c>
      <c r="D11" s="288" t="s">
        <v>669</v>
      </c>
      <c r="E11" s="55">
        <f>E8*0.121</f>
        <v>41.0916</v>
      </c>
    </row>
    <row r="12" spans="1:5" ht="29.25" customHeight="1" x14ac:dyDescent="0.25">
      <c r="B12" s="8"/>
      <c r="C12" s="5" t="s">
        <v>744</v>
      </c>
      <c r="D12" s="55" t="s">
        <v>0</v>
      </c>
      <c r="E12" s="55">
        <f>E9*0.15</f>
        <v>50.940000000000005</v>
      </c>
    </row>
    <row r="13" spans="1:5" ht="26.25" customHeight="1" x14ac:dyDescent="0.25">
      <c r="B13" s="8"/>
      <c r="C13" s="5" t="s">
        <v>727</v>
      </c>
      <c r="D13" s="55" t="s">
        <v>669</v>
      </c>
      <c r="E13" s="55">
        <f>0.15*E8*1.4*1.26</f>
        <v>89.858159999999998</v>
      </c>
    </row>
    <row r="14" spans="1:5" ht="29.25" customHeight="1" x14ac:dyDescent="0.25">
      <c r="B14" s="8"/>
      <c r="C14" s="5" t="s">
        <v>754</v>
      </c>
      <c r="D14" s="55" t="s">
        <v>7</v>
      </c>
      <c r="E14" s="55">
        <f>339.6</f>
        <v>339.6</v>
      </c>
    </row>
    <row r="15" spans="1:5" ht="26.25" customHeight="1" x14ac:dyDescent="0.25">
      <c r="B15" s="8"/>
      <c r="C15" s="5" t="s">
        <v>728</v>
      </c>
      <c r="D15" s="55" t="s">
        <v>669</v>
      </c>
      <c r="E15" s="55">
        <f>E14*0.2*1.26*1.5</f>
        <v>128.36879999999999</v>
      </c>
    </row>
    <row r="16" spans="1:5" ht="26.25" customHeight="1" x14ac:dyDescent="0.25">
      <c r="B16" s="6"/>
      <c r="C16" s="5" t="s">
        <v>749</v>
      </c>
      <c r="D16" s="55" t="s">
        <v>7</v>
      </c>
      <c r="E16" s="55">
        <v>339.6</v>
      </c>
    </row>
    <row r="17" spans="2:5" x14ac:dyDescent="0.25">
      <c r="B17" s="6"/>
      <c r="C17" s="31" t="s">
        <v>750</v>
      </c>
      <c r="D17" s="32" t="s">
        <v>7</v>
      </c>
      <c r="E17" s="33">
        <f>1.2*E16</f>
        <v>407.52000000000004</v>
      </c>
    </row>
  </sheetData>
  <mergeCells count="7">
    <mergeCell ref="B2:E2"/>
    <mergeCell ref="B1:E1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E7"/>
  <sheetViews>
    <sheetView zoomScaleNormal="100" workbookViewId="0">
      <selection activeCell="C17" sqref="C17"/>
    </sheetView>
  </sheetViews>
  <sheetFormatPr defaultColWidth="9.140625" defaultRowHeight="15" x14ac:dyDescent="0.25"/>
  <cols>
    <col min="1" max="1" width="9.140625" style="10"/>
    <col min="2" max="2" width="6" style="10" customWidth="1"/>
    <col min="3" max="3" width="56.7109375" style="10" customWidth="1"/>
    <col min="4" max="4" width="9.140625" style="10"/>
    <col min="5" max="5" width="9.85546875" style="10" customWidth="1"/>
    <col min="6" max="6" width="11.42578125" style="10" bestFit="1" customWidth="1"/>
    <col min="7" max="7" width="10.5703125" style="10" bestFit="1" customWidth="1"/>
    <col min="8" max="16384" width="9.140625" style="10"/>
  </cols>
  <sheetData>
    <row r="1" spans="1:5" s="7" customFormat="1" ht="38.25" customHeight="1" x14ac:dyDescent="0.25">
      <c r="B1" s="450" t="s">
        <v>236</v>
      </c>
      <c r="C1" s="450"/>
      <c r="D1" s="450"/>
      <c r="E1" s="450"/>
    </row>
    <row r="2" spans="1:5" s="7" customFormat="1" ht="23.25" x14ac:dyDescent="0.25">
      <c r="B2" s="400" t="s">
        <v>869</v>
      </c>
      <c r="C2" s="400"/>
      <c r="D2" s="400"/>
      <c r="E2" s="400"/>
    </row>
    <row r="3" spans="1:5" s="263" customFormat="1" ht="37.5" customHeight="1" x14ac:dyDescent="0.25">
      <c r="A3" s="448"/>
      <c r="B3" s="449" t="s">
        <v>409</v>
      </c>
      <c r="C3" s="449" t="s">
        <v>410</v>
      </c>
      <c r="D3" s="449" t="s">
        <v>13</v>
      </c>
      <c r="E3" s="449" t="s">
        <v>411</v>
      </c>
    </row>
    <row r="4" spans="1:5" s="263" customFormat="1" x14ac:dyDescent="0.25">
      <c r="A4" s="448"/>
      <c r="B4" s="449"/>
      <c r="C4" s="449"/>
      <c r="D4" s="449"/>
      <c r="E4" s="449"/>
    </row>
    <row r="5" spans="1:5" s="263" customFormat="1" ht="30" x14ac:dyDescent="0.25">
      <c r="B5" s="55"/>
      <c r="C5" s="55" t="s">
        <v>741</v>
      </c>
      <c r="D5" s="55"/>
      <c r="E5" s="55"/>
    </row>
    <row r="6" spans="1:5" s="263" customFormat="1" x14ac:dyDescent="0.25">
      <c r="B6" s="55"/>
      <c r="C6" s="55" t="s">
        <v>740</v>
      </c>
      <c r="D6" s="55"/>
      <c r="E6" s="55"/>
    </row>
    <row r="7" spans="1:5" x14ac:dyDescent="0.25">
      <c r="B7" s="55">
        <v>1</v>
      </c>
      <c r="C7" s="28" t="s">
        <v>772</v>
      </c>
      <c r="D7" s="29" t="s">
        <v>51</v>
      </c>
      <c r="E7" s="30">
        <v>1</v>
      </c>
    </row>
  </sheetData>
  <mergeCells count="7">
    <mergeCell ref="B1:E1"/>
    <mergeCell ref="B2:E2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7D4C1-1553-4F76-9C72-05297A040BF7}">
  <sheetPr>
    <tabColor rgb="FF00FFFF"/>
  </sheetPr>
  <dimension ref="B31:B33"/>
  <sheetViews>
    <sheetView workbookViewId="0">
      <selection activeCell="B33" sqref="B33"/>
    </sheetView>
  </sheetViews>
  <sheetFormatPr defaultRowHeight="15" x14ac:dyDescent="0.25"/>
  <sheetData>
    <row r="31" spans="2:2" x14ac:dyDescent="0.25">
      <c r="B31" t="s">
        <v>870</v>
      </c>
    </row>
    <row r="33" spans="2:2" x14ac:dyDescent="0.25">
      <c r="B33" t="s">
        <v>871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56"/>
  <sheetViews>
    <sheetView zoomScale="85" zoomScaleNormal="85" workbookViewId="0">
      <pane ySplit="4" topLeftCell="A5" activePane="bottomLeft" state="frozen"/>
      <selection pane="bottomLeft" activeCell="K24" sqref="K24"/>
    </sheetView>
  </sheetViews>
  <sheetFormatPr defaultRowHeight="15.75" x14ac:dyDescent="0.25"/>
  <cols>
    <col min="1" max="1" width="3.140625" style="75" customWidth="1"/>
    <col min="2" max="2" width="6.140625" style="75" customWidth="1"/>
    <col min="3" max="3" width="10.28515625" style="75" customWidth="1"/>
    <col min="4" max="4" width="24.85546875" style="75" customWidth="1"/>
    <col min="5" max="5" width="11.85546875" style="75" customWidth="1"/>
    <col min="6" max="6" width="15" style="81" customWidth="1"/>
    <col min="7" max="230" width="9.140625" style="75"/>
    <col min="231" max="231" width="3.140625" style="75" customWidth="1"/>
    <col min="232" max="232" width="6.140625" style="75" customWidth="1"/>
    <col min="233" max="233" width="10.28515625" style="75" customWidth="1"/>
    <col min="234" max="234" width="34.140625" style="75" customWidth="1"/>
    <col min="235" max="235" width="9.28515625" style="75" customWidth="1"/>
    <col min="236" max="237" width="12.140625" style="75" customWidth="1"/>
    <col min="238" max="248" width="9.85546875" style="75" customWidth="1"/>
    <col min="249" max="249" width="11.5703125" style="75" customWidth="1"/>
    <col min="250" max="250" width="12.7109375" style="75" customWidth="1"/>
    <col min="251" max="251" width="9.140625" style="75"/>
    <col min="252" max="252" width="11.42578125" style="75" bestFit="1" customWidth="1"/>
    <col min="253" max="486" width="9.140625" style="75"/>
    <col min="487" max="487" width="3.140625" style="75" customWidth="1"/>
    <col min="488" max="488" width="6.140625" style="75" customWidth="1"/>
    <col min="489" max="489" width="10.28515625" style="75" customWidth="1"/>
    <col min="490" max="490" width="34.140625" style="75" customWidth="1"/>
    <col min="491" max="491" width="9.28515625" style="75" customWidth="1"/>
    <col min="492" max="493" width="12.140625" style="75" customWidth="1"/>
    <col min="494" max="504" width="9.85546875" style="75" customWidth="1"/>
    <col min="505" max="505" width="11.5703125" style="75" customWidth="1"/>
    <col min="506" max="506" width="12.7109375" style="75" customWidth="1"/>
    <col min="507" max="507" width="9.140625" style="75"/>
    <col min="508" max="508" width="11.42578125" style="75" bestFit="1" customWidth="1"/>
    <col min="509" max="742" width="9.140625" style="75"/>
    <col min="743" max="743" width="3.140625" style="75" customWidth="1"/>
    <col min="744" max="744" width="6.140625" style="75" customWidth="1"/>
    <col min="745" max="745" width="10.28515625" style="75" customWidth="1"/>
    <col min="746" max="746" width="34.140625" style="75" customWidth="1"/>
    <col min="747" max="747" width="9.28515625" style="75" customWidth="1"/>
    <col min="748" max="749" width="12.140625" style="75" customWidth="1"/>
    <col min="750" max="760" width="9.85546875" style="75" customWidth="1"/>
    <col min="761" max="761" width="11.5703125" style="75" customWidth="1"/>
    <col min="762" max="762" width="12.7109375" style="75" customWidth="1"/>
    <col min="763" max="763" width="9.140625" style="75"/>
    <col min="764" max="764" width="11.42578125" style="75" bestFit="1" customWidth="1"/>
    <col min="765" max="998" width="9.140625" style="75"/>
    <col min="999" max="999" width="3.140625" style="75" customWidth="1"/>
    <col min="1000" max="1000" width="6.140625" style="75" customWidth="1"/>
    <col min="1001" max="1001" width="10.28515625" style="75" customWidth="1"/>
    <col min="1002" max="1002" width="34.140625" style="75" customWidth="1"/>
    <col min="1003" max="1003" width="9.28515625" style="75" customWidth="1"/>
    <col min="1004" max="1005" width="12.140625" style="75" customWidth="1"/>
    <col min="1006" max="1016" width="9.85546875" style="75" customWidth="1"/>
    <col min="1017" max="1017" width="11.5703125" style="75" customWidth="1"/>
    <col min="1018" max="1018" width="12.7109375" style="75" customWidth="1"/>
    <col min="1019" max="1019" width="9.140625" style="75"/>
    <col min="1020" max="1020" width="11.42578125" style="75" bestFit="1" customWidth="1"/>
    <col min="1021" max="1254" width="9.140625" style="75"/>
    <col min="1255" max="1255" width="3.140625" style="75" customWidth="1"/>
    <col min="1256" max="1256" width="6.140625" style="75" customWidth="1"/>
    <col min="1257" max="1257" width="10.28515625" style="75" customWidth="1"/>
    <col min="1258" max="1258" width="34.140625" style="75" customWidth="1"/>
    <col min="1259" max="1259" width="9.28515625" style="75" customWidth="1"/>
    <col min="1260" max="1261" width="12.140625" style="75" customWidth="1"/>
    <col min="1262" max="1272" width="9.85546875" style="75" customWidth="1"/>
    <col min="1273" max="1273" width="11.5703125" style="75" customWidth="1"/>
    <col min="1274" max="1274" width="12.7109375" style="75" customWidth="1"/>
    <col min="1275" max="1275" width="9.140625" style="75"/>
    <col min="1276" max="1276" width="11.42578125" style="75" bestFit="1" customWidth="1"/>
    <col min="1277" max="1510" width="9.140625" style="75"/>
    <col min="1511" max="1511" width="3.140625" style="75" customWidth="1"/>
    <col min="1512" max="1512" width="6.140625" style="75" customWidth="1"/>
    <col min="1513" max="1513" width="10.28515625" style="75" customWidth="1"/>
    <col min="1514" max="1514" width="34.140625" style="75" customWidth="1"/>
    <col min="1515" max="1515" width="9.28515625" style="75" customWidth="1"/>
    <col min="1516" max="1517" width="12.140625" style="75" customWidth="1"/>
    <col min="1518" max="1528" width="9.85546875" style="75" customWidth="1"/>
    <col min="1529" max="1529" width="11.5703125" style="75" customWidth="1"/>
    <col min="1530" max="1530" width="12.7109375" style="75" customWidth="1"/>
    <col min="1531" max="1531" width="9.140625" style="75"/>
    <col min="1532" max="1532" width="11.42578125" style="75" bestFit="1" customWidth="1"/>
    <col min="1533" max="1766" width="9.140625" style="75"/>
    <col min="1767" max="1767" width="3.140625" style="75" customWidth="1"/>
    <col min="1768" max="1768" width="6.140625" style="75" customWidth="1"/>
    <col min="1769" max="1769" width="10.28515625" style="75" customWidth="1"/>
    <col min="1770" max="1770" width="34.140625" style="75" customWidth="1"/>
    <col min="1771" max="1771" width="9.28515625" style="75" customWidth="1"/>
    <col min="1772" max="1773" width="12.140625" style="75" customWidth="1"/>
    <col min="1774" max="1784" width="9.85546875" style="75" customWidth="1"/>
    <col min="1785" max="1785" width="11.5703125" style="75" customWidth="1"/>
    <col min="1786" max="1786" width="12.7109375" style="75" customWidth="1"/>
    <col min="1787" max="1787" width="9.140625" style="75"/>
    <col min="1788" max="1788" width="11.42578125" style="75" bestFit="1" customWidth="1"/>
    <col min="1789" max="2022" width="9.140625" style="75"/>
    <col min="2023" max="2023" width="3.140625" style="75" customWidth="1"/>
    <col min="2024" max="2024" width="6.140625" style="75" customWidth="1"/>
    <col min="2025" max="2025" width="10.28515625" style="75" customWidth="1"/>
    <col min="2026" max="2026" width="34.140625" style="75" customWidth="1"/>
    <col min="2027" max="2027" width="9.28515625" style="75" customWidth="1"/>
    <col min="2028" max="2029" width="12.140625" style="75" customWidth="1"/>
    <col min="2030" max="2040" width="9.85546875" style="75" customWidth="1"/>
    <col min="2041" max="2041" width="11.5703125" style="75" customWidth="1"/>
    <col min="2042" max="2042" width="12.7109375" style="75" customWidth="1"/>
    <col min="2043" max="2043" width="9.140625" style="75"/>
    <col min="2044" max="2044" width="11.42578125" style="75" bestFit="1" customWidth="1"/>
    <col min="2045" max="2278" width="9.140625" style="75"/>
    <col min="2279" max="2279" width="3.140625" style="75" customWidth="1"/>
    <col min="2280" max="2280" width="6.140625" style="75" customWidth="1"/>
    <col min="2281" max="2281" width="10.28515625" style="75" customWidth="1"/>
    <col min="2282" max="2282" width="34.140625" style="75" customWidth="1"/>
    <col min="2283" max="2283" width="9.28515625" style="75" customWidth="1"/>
    <col min="2284" max="2285" width="12.140625" style="75" customWidth="1"/>
    <col min="2286" max="2296" width="9.85546875" style="75" customWidth="1"/>
    <col min="2297" max="2297" width="11.5703125" style="75" customWidth="1"/>
    <col min="2298" max="2298" width="12.7109375" style="75" customWidth="1"/>
    <col min="2299" max="2299" width="9.140625" style="75"/>
    <col min="2300" max="2300" width="11.42578125" style="75" bestFit="1" customWidth="1"/>
    <col min="2301" max="2534" width="9.140625" style="75"/>
    <col min="2535" max="2535" width="3.140625" style="75" customWidth="1"/>
    <col min="2536" max="2536" width="6.140625" style="75" customWidth="1"/>
    <col min="2537" max="2537" width="10.28515625" style="75" customWidth="1"/>
    <col min="2538" max="2538" width="34.140625" style="75" customWidth="1"/>
    <col min="2539" max="2539" width="9.28515625" style="75" customWidth="1"/>
    <col min="2540" max="2541" width="12.140625" style="75" customWidth="1"/>
    <col min="2542" max="2552" width="9.85546875" style="75" customWidth="1"/>
    <col min="2553" max="2553" width="11.5703125" style="75" customWidth="1"/>
    <col min="2554" max="2554" width="12.7109375" style="75" customWidth="1"/>
    <col min="2555" max="2555" width="9.140625" style="75"/>
    <col min="2556" max="2556" width="11.42578125" style="75" bestFit="1" customWidth="1"/>
    <col min="2557" max="2790" width="9.140625" style="75"/>
    <col min="2791" max="2791" width="3.140625" style="75" customWidth="1"/>
    <col min="2792" max="2792" width="6.140625" style="75" customWidth="1"/>
    <col min="2793" max="2793" width="10.28515625" style="75" customWidth="1"/>
    <col min="2794" max="2794" width="34.140625" style="75" customWidth="1"/>
    <col min="2795" max="2795" width="9.28515625" style="75" customWidth="1"/>
    <col min="2796" max="2797" width="12.140625" style="75" customWidth="1"/>
    <col min="2798" max="2808" width="9.85546875" style="75" customWidth="1"/>
    <col min="2809" max="2809" width="11.5703125" style="75" customWidth="1"/>
    <col min="2810" max="2810" width="12.7109375" style="75" customWidth="1"/>
    <col min="2811" max="2811" width="9.140625" style="75"/>
    <col min="2812" max="2812" width="11.42578125" style="75" bestFit="1" customWidth="1"/>
    <col min="2813" max="3046" width="9.140625" style="75"/>
    <col min="3047" max="3047" width="3.140625" style="75" customWidth="1"/>
    <col min="3048" max="3048" width="6.140625" style="75" customWidth="1"/>
    <col min="3049" max="3049" width="10.28515625" style="75" customWidth="1"/>
    <col min="3050" max="3050" width="34.140625" style="75" customWidth="1"/>
    <col min="3051" max="3051" width="9.28515625" style="75" customWidth="1"/>
    <col min="3052" max="3053" width="12.140625" style="75" customWidth="1"/>
    <col min="3054" max="3064" width="9.85546875" style="75" customWidth="1"/>
    <col min="3065" max="3065" width="11.5703125" style="75" customWidth="1"/>
    <col min="3066" max="3066" width="12.7109375" style="75" customWidth="1"/>
    <col min="3067" max="3067" width="9.140625" style="75"/>
    <col min="3068" max="3068" width="11.42578125" style="75" bestFit="1" customWidth="1"/>
    <col min="3069" max="3302" width="9.140625" style="75"/>
    <col min="3303" max="3303" width="3.140625" style="75" customWidth="1"/>
    <col min="3304" max="3304" width="6.140625" style="75" customWidth="1"/>
    <col min="3305" max="3305" width="10.28515625" style="75" customWidth="1"/>
    <col min="3306" max="3306" width="34.140625" style="75" customWidth="1"/>
    <col min="3307" max="3307" width="9.28515625" style="75" customWidth="1"/>
    <col min="3308" max="3309" width="12.140625" style="75" customWidth="1"/>
    <col min="3310" max="3320" width="9.85546875" style="75" customWidth="1"/>
    <col min="3321" max="3321" width="11.5703125" style="75" customWidth="1"/>
    <col min="3322" max="3322" width="12.7109375" style="75" customWidth="1"/>
    <col min="3323" max="3323" width="9.140625" style="75"/>
    <col min="3324" max="3324" width="11.42578125" style="75" bestFit="1" customWidth="1"/>
    <col min="3325" max="3558" width="9.140625" style="75"/>
    <col min="3559" max="3559" width="3.140625" style="75" customWidth="1"/>
    <col min="3560" max="3560" width="6.140625" style="75" customWidth="1"/>
    <col min="3561" max="3561" width="10.28515625" style="75" customWidth="1"/>
    <col min="3562" max="3562" width="34.140625" style="75" customWidth="1"/>
    <col min="3563" max="3563" width="9.28515625" style="75" customWidth="1"/>
    <col min="3564" max="3565" width="12.140625" style="75" customWidth="1"/>
    <col min="3566" max="3576" width="9.85546875" style="75" customWidth="1"/>
    <col min="3577" max="3577" width="11.5703125" style="75" customWidth="1"/>
    <col min="3578" max="3578" width="12.7109375" style="75" customWidth="1"/>
    <col min="3579" max="3579" width="9.140625" style="75"/>
    <col min="3580" max="3580" width="11.42578125" style="75" bestFit="1" customWidth="1"/>
    <col min="3581" max="3814" width="9.140625" style="75"/>
    <col min="3815" max="3815" width="3.140625" style="75" customWidth="1"/>
    <col min="3816" max="3816" width="6.140625" style="75" customWidth="1"/>
    <col min="3817" max="3817" width="10.28515625" style="75" customWidth="1"/>
    <col min="3818" max="3818" width="34.140625" style="75" customWidth="1"/>
    <col min="3819" max="3819" width="9.28515625" style="75" customWidth="1"/>
    <col min="3820" max="3821" width="12.140625" style="75" customWidth="1"/>
    <col min="3822" max="3832" width="9.85546875" style="75" customWidth="1"/>
    <col min="3833" max="3833" width="11.5703125" style="75" customWidth="1"/>
    <col min="3834" max="3834" width="12.7109375" style="75" customWidth="1"/>
    <col min="3835" max="3835" width="9.140625" style="75"/>
    <col min="3836" max="3836" width="11.42578125" style="75" bestFit="1" customWidth="1"/>
    <col min="3837" max="4070" width="9.140625" style="75"/>
    <col min="4071" max="4071" width="3.140625" style="75" customWidth="1"/>
    <col min="4072" max="4072" width="6.140625" style="75" customWidth="1"/>
    <col min="4073" max="4073" width="10.28515625" style="75" customWidth="1"/>
    <col min="4074" max="4074" width="34.140625" style="75" customWidth="1"/>
    <col min="4075" max="4075" width="9.28515625" style="75" customWidth="1"/>
    <col min="4076" max="4077" width="12.140625" style="75" customWidth="1"/>
    <col min="4078" max="4088" width="9.85546875" style="75" customWidth="1"/>
    <col min="4089" max="4089" width="11.5703125" style="75" customWidth="1"/>
    <col min="4090" max="4090" width="12.7109375" style="75" customWidth="1"/>
    <col min="4091" max="4091" width="9.140625" style="75"/>
    <col min="4092" max="4092" width="11.42578125" style="75" bestFit="1" customWidth="1"/>
    <col min="4093" max="4326" width="9.140625" style="75"/>
    <col min="4327" max="4327" width="3.140625" style="75" customWidth="1"/>
    <col min="4328" max="4328" width="6.140625" style="75" customWidth="1"/>
    <col min="4329" max="4329" width="10.28515625" style="75" customWidth="1"/>
    <col min="4330" max="4330" width="34.140625" style="75" customWidth="1"/>
    <col min="4331" max="4331" width="9.28515625" style="75" customWidth="1"/>
    <col min="4332" max="4333" width="12.140625" style="75" customWidth="1"/>
    <col min="4334" max="4344" width="9.85546875" style="75" customWidth="1"/>
    <col min="4345" max="4345" width="11.5703125" style="75" customWidth="1"/>
    <col min="4346" max="4346" width="12.7109375" style="75" customWidth="1"/>
    <col min="4347" max="4347" width="9.140625" style="75"/>
    <col min="4348" max="4348" width="11.42578125" style="75" bestFit="1" customWidth="1"/>
    <col min="4349" max="4582" width="9.140625" style="75"/>
    <col min="4583" max="4583" width="3.140625" style="75" customWidth="1"/>
    <col min="4584" max="4584" width="6.140625" style="75" customWidth="1"/>
    <col min="4585" max="4585" width="10.28515625" style="75" customWidth="1"/>
    <col min="4586" max="4586" width="34.140625" style="75" customWidth="1"/>
    <col min="4587" max="4587" width="9.28515625" style="75" customWidth="1"/>
    <col min="4588" max="4589" width="12.140625" style="75" customWidth="1"/>
    <col min="4590" max="4600" width="9.85546875" style="75" customWidth="1"/>
    <col min="4601" max="4601" width="11.5703125" style="75" customWidth="1"/>
    <col min="4602" max="4602" width="12.7109375" style="75" customWidth="1"/>
    <col min="4603" max="4603" width="9.140625" style="75"/>
    <col min="4604" max="4604" width="11.42578125" style="75" bestFit="1" customWidth="1"/>
    <col min="4605" max="4838" width="9.140625" style="75"/>
    <col min="4839" max="4839" width="3.140625" style="75" customWidth="1"/>
    <col min="4840" max="4840" width="6.140625" style="75" customWidth="1"/>
    <col min="4841" max="4841" width="10.28515625" style="75" customWidth="1"/>
    <col min="4842" max="4842" width="34.140625" style="75" customWidth="1"/>
    <col min="4843" max="4843" width="9.28515625" style="75" customWidth="1"/>
    <col min="4844" max="4845" width="12.140625" style="75" customWidth="1"/>
    <col min="4846" max="4856" width="9.85546875" style="75" customWidth="1"/>
    <col min="4857" max="4857" width="11.5703125" style="75" customWidth="1"/>
    <col min="4858" max="4858" width="12.7109375" style="75" customWidth="1"/>
    <col min="4859" max="4859" width="9.140625" style="75"/>
    <col min="4860" max="4860" width="11.42578125" style="75" bestFit="1" customWidth="1"/>
    <col min="4861" max="5094" width="9.140625" style="75"/>
    <col min="5095" max="5095" width="3.140625" style="75" customWidth="1"/>
    <col min="5096" max="5096" width="6.140625" style="75" customWidth="1"/>
    <col min="5097" max="5097" width="10.28515625" style="75" customWidth="1"/>
    <col min="5098" max="5098" width="34.140625" style="75" customWidth="1"/>
    <col min="5099" max="5099" width="9.28515625" style="75" customWidth="1"/>
    <col min="5100" max="5101" width="12.140625" style="75" customWidth="1"/>
    <col min="5102" max="5112" width="9.85546875" style="75" customWidth="1"/>
    <col min="5113" max="5113" width="11.5703125" style="75" customWidth="1"/>
    <col min="5114" max="5114" width="12.7109375" style="75" customWidth="1"/>
    <col min="5115" max="5115" width="9.140625" style="75"/>
    <col min="5116" max="5116" width="11.42578125" style="75" bestFit="1" customWidth="1"/>
    <col min="5117" max="5350" width="9.140625" style="75"/>
    <col min="5351" max="5351" width="3.140625" style="75" customWidth="1"/>
    <col min="5352" max="5352" width="6.140625" style="75" customWidth="1"/>
    <col min="5353" max="5353" width="10.28515625" style="75" customWidth="1"/>
    <col min="5354" max="5354" width="34.140625" style="75" customWidth="1"/>
    <col min="5355" max="5355" width="9.28515625" style="75" customWidth="1"/>
    <col min="5356" max="5357" width="12.140625" style="75" customWidth="1"/>
    <col min="5358" max="5368" width="9.85546875" style="75" customWidth="1"/>
    <col min="5369" max="5369" width="11.5703125" style="75" customWidth="1"/>
    <col min="5370" max="5370" width="12.7109375" style="75" customWidth="1"/>
    <col min="5371" max="5371" width="9.140625" style="75"/>
    <col min="5372" max="5372" width="11.42578125" style="75" bestFit="1" customWidth="1"/>
    <col min="5373" max="5606" width="9.140625" style="75"/>
    <col min="5607" max="5607" width="3.140625" style="75" customWidth="1"/>
    <col min="5608" max="5608" width="6.140625" style="75" customWidth="1"/>
    <col min="5609" max="5609" width="10.28515625" style="75" customWidth="1"/>
    <col min="5610" max="5610" width="34.140625" style="75" customWidth="1"/>
    <col min="5611" max="5611" width="9.28515625" style="75" customWidth="1"/>
    <col min="5612" max="5613" width="12.140625" style="75" customWidth="1"/>
    <col min="5614" max="5624" width="9.85546875" style="75" customWidth="1"/>
    <col min="5625" max="5625" width="11.5703125" style="75" customWidth="1"/>
    <col min="5626" max="5626" width="12.7109375" style="75" customWidth="1"/>
    <col min="5627" max="5627" width="9.140625" style="75"/>
    <col min="5628" max="5628" width="11.42578125" style="75" bestFit="1" customWidth="1"/>
    <col min="5629" max="5862" width="9.140625" style="75"/>
    <col min="5863" max="5863" width="3.140625" style="75" customWidth="1"/>
    <col min="5864" max="5864" width="6.140625" style="75" customWidth="1"/>
    <col min="5865" max="5865" width="10.28515625" style="75" customWidth="1"/>
    <col min="5866" max="5866" width="34.140625" style="75" customWidth="1"/>
    <col min="5867" max="5867" width="9.28515625" style="75" customWidth="1"/>
    <col min="5868" max="5869" width="12.140625" style="75" customWidth="1"/>
    <col min="5870" max="5880" width="9.85546875" style="75" customWidth="1"/>
    <col min="5881" max="5881" width="11.5703125" style="75" customWidth="1"/>
    <col min="5882" max="5882" width="12.7109375" style="75" customWidth="1"/>
    <col min="5883" max="5883" width="9.140625" style="75"/>
    <col min="5884" max="5884" width="11.42578125" style="75" bestFit="1" customWidth="1"/>
    <col min="5885" max="6118" width="9.140625" style="75"/>
    <col min="6119" max="6119" width="3.140625" style="75" customWidth="1"/>
    <col min="6120" max="6120" width="6.140625" style="75" customWidth="1"/>
    <col min="6121" max="6121" width="10.28515625" style="75" customWidth="1"/>
    <col min="6122" max="6122" width="34.140625" style="75" customWidth="1"/>
    <col min="6123" max="6123" width="9.28515625" style="75" customWidth="1"/>
    <col min="6124" max="6125" width="12.140625" style="75" customWidth="1"/>
    <col min="6126" max="6136" width="9.85546875" style="75" customWidth="1"/>
    <col min="6137" max="6137" width="11.5703125" style="75" customWidth="1"/>
    <col min="6138" max="6138" width="12.7109375" style="75" customWidth="1"/>
    <col min="6139" max="6139" width="9.140625" style="75"/>
    <col min="6140" max="6140" width="11.42578125" style="75" bestFit="1" customWidth="1"/>
    <col min="6141" max="6374" width="9.140625" style="75"/>
    <col min="6375" max="6375" width="3.140625" style="75" customWidth="1"/>
    <col min="6376" max="6376" width="6.140625" style="75" customWidth="1"/>
    <col min="6377" max="6377" width="10.28515625" style="75" customWidth="1"/>
    <col min="6378" max="6378" width="34.140625" style="75" customWidth="1"/>
    <col min="6379" max="6379" width="9.28515625" style="75" customWidth="1"/>
    <col min="6380" max="6381" width="12.140625" style="75" customWidth="1"/>
    <col min="6382" max="6392" width="9.85546875" style="75" customWidth="1"/>
    <col min="6393" max="6393" width="11.5703125" style="75" customWidth="1"/>
    <col min="6394" max="6394" width="12.7109375" style="75" customWidth="1"/>
    <col min="6395" max="6395" width="9.140625" style="75"/>
    <col min="6396" max="6396" width="11.42578125" style="75" bestFit="1" customWidth="1"/>
    <col min="6397" max="6630" width="9.140625" style="75"/>
    <col min="6631" max="6631" width="3.140625" style="75" customWidth="1"/>
    <col min="6632" max="6632" width="6.140625" style="75" customWidth="1"/>
    <col min="6633" max="6633" width="10.28515625" style="75" customWidth="1"/>
    <col min="6634" max="6634" width="34.140625" style="75" customWidth="1"/>
    <col min="6635" max="6635" width="9.28515625" style="75" customWidth="1"/>
    <col min="6636" max="6637" width="12.140625" style="75" customWidth="1"/>
    <col min="6638" max="6648" width="9.85546875" style="75" customWidth="1"/>
    <col min="6649" max="6649" width="11.5703125" style="75" customWidth="1"/>
    <col min="6650" max="6650" width="12.7109375" style="75" customWidth="1"/>
    <col min="6651" max="6651" width="9.140625" style="75"/>
    <col min="6652" max="6652" width="11.42578125" style="75" bestFit="1" customWidth="1"/>
    <col min="6653" max="6886" width="9.140625" style="75"/>
    <col min="6887" max="6887" width="3.140625" style="75" customWidth="1"/>
    <col min="6888" max="6888" width="6.140625" style="75" customWidth="1"/>
    <col min="6889" max="6889" width="10.28515625" style="75" customWidth="1"/>
    <col min="6890" max="6890" width="34.140625" style="75" customWidth="1"/>
    <col min="6891" max="6891" width="9.28515625" style="75" customWidth="1"/>
    <col min="6892" max="6893" width="12.140625" style="75" customWidth="1"/>
    <col min="6894" max="6904" width="9.85546875" style="75" customWidth="1"/>
    <col min="6905" max="6905" width="11.5703125" style="75" customWidth="1"/>
    <col min="6906" max="6906" width="12.7109375" style="75" customWidth="1"/>
    <col min="6907" max="6907" width="9.140625" style="75"/>
    <col min="6908" max="6908" width="11.42578125" style="75" bestFit="1" customWidth="1"/>
    <col min="6909" max="7142" width="9.140625" style="75"/>
    <col min="7143" max="7143" width="3.140625" style="75" customWidth="1"/>
    <col min="7144" max="7144" width="6.140625" style="75" customWidth="1"/>
    <col min="7145" max="7145" width="10.28515625" style="75" customWidth="1"/>
    <col min="7146" max="7146" width="34.140625" style="75" customWidth="1"/>
    <col min="7147" max="7147" width="9.28515625" style="75" customWidth="1"/>
    <col min="7148" max="7149" width="12.140625" style="75" customWidth="1"/>
    <col min="7150" max="7160" width="9.85546875" style="75" customWidth="1"/>
    <col min="7161" max="7161" width="11.5703125" style="75" customWidth="1"/>
    <col min="7162" max="7162" width="12.7109375" style="75" customWidth="1"/>
    <col min="7163" max="7163" width="9.140625" style="75"/>
    <col min="7164" max="7164" width="11.42578125" style="75" bestFit="1" customWidth="1"/>
    <col min="7165" max="7398" width="9.140625" style="75"/>
    <col min="7399" max="7399" width="3.140625" style="75" customWidth="1"/>
    <col min="7400" max="7400" width="6.140625" style="75" customWidth="1"/>
    <col min="7401" max="7401" width="10.28515625" style="75" customWidth="1"/>
    <col min="7402" max="7402" width="34.140625" style="75" customWidth="1"/>
    <col min="7403" max="7403" width="9.28515625" style="75" customWidth="1"/>
    <col min="7404" max="7405" width="12.140625" style="75" customWidth="1"/>
    <col min="7406" max="7416" width="9.85546875" style="75" customWidth="1"/>
    <col min="7417" max="7417" width="11.5703125" style="75" customWidth="1"/>
    <col min="7418" max="7418" width="12.7109375" style="75" customWidth="1"/>
    <col min="7419" max="7419" width="9.140625" style="75"/>
    <col min="7420" max="7420" width="11.42578125" style="75" bestFit="1" customWidth="1"/>
    <col min="7421" max="7654" width="9.140625" style="75"/>
    <col min="7655" max="7655" width="3.140625" style="75" customWidth="1"/>
    <col min="7656" max="7656" width="6.140625" style="75" customWidth="1"/>
    <col min="7657" max="7657" width="10.28515625" style="75" customWidth="1"/>
    <col min="7658" max="7658" width="34.140625" style="75" customWidth="1"/>
    <col min="7659" max="7659" width="9.28515625" style="75" customWidth="1"/>
    <col min="7660" max="7661" width="12.140625" style="75" customWidth="1"/>
    <col min="7662" max="7672" width="9.85546875" style="75" customWidth="1"/>
    <col min="7673" max="7673" width="11.5703125" style="75" customWidth="1"/>
    <col min="7674" max="7674" width="12.7109375" style="75" customWidth="1"/>
    <col min="7675" max="7675" width="9.140625" style="75"/>
    <col min="7676" max="7676" width="11.42578125" style="75" bestFit="1" customWidth="1"/>
    <col min="7677" max="7910" width="9.140625" style="75"/>
    <col min="7911" max="7911" width="3.140625" style="75" customWidth="1"/>
    <col min="7912" max="7912" width="6.140625" style="75" customWidth="1"/>
    <col min="7913" max="7913" width="10.28515625" style="75" customWidth="1"/>
    <col min="7914" max="7914" width="34.140625" style="75" customWidth="1"/>
    <col min="7915" max="7915" width="9.28515625" style="75" customWidth="1"/>
    <col min="7916" max="7917" width="12.140625" style="75" customWidth="1"/>
    <col min="7918" max="7928" width="9.85546875" style="75" customWidth="1"/>
    <col min="7929" max="7929" width="11.5703125" style="75" customWidth="1"/>
    <col min="7930" max="7930" width="12.7109375" style="75" customWidth="1"/>
    <col min="7931" max="7931" width="9.140625" style="75"/>
    <col min="7932" max="7932" width="11.42578125" style="75" bestFit="1" customWidth="1"/>
    <col min="7933" max="8166" width="9.140625" style="75"/>
    <col min="8167" max="8167" width="3.140625" style="75" customWidth="1"/>
    <col min="8168" max="8168" width="6.140625" style="75" customWidth="1"/>
    <col min="8169" max="8169" width="10.28515625" style="75" customWidth="1"/>
    <col min="8170" max="8170" width="34.140625" style="75" customWidth="1"/>
    <col min="8171" max="8171" width="9.28515625" style="75" customWidth="1"/>
    <col min="8172" max="8173" width="12.140625" style="75" customWidth="1"/>
    <col min="8174" max="8184" width="9.85546875" style="75" customWidth="1"/>
    <col min="8185" max="8185" width="11.5703125" style="75" customWidth="1"/>
    <col min="8186" max="8186" width="12.7109375" style="75" customWidth="1"/>
    <col min="8187" max="8187" width="9.140625" style="75"/>
    <col min="8188" max="8188" width="11.42578125" style="75" bestFit="1" customWidth="1"/>
    <col min="8189" max="8422" width="9.140625" style="75"/>
    <col min="8423" max="8423" width="3.140625" style="75" customWidth="1"/>
    <col min="8424" max="8424" width="6.140625" style="75" customWidth="1"/>
    <col min="8425" max="8425" width="10.28515625" style="75" customWidth="1"/>
    <col min="8426" max="8426" width="34.140625" style="75" customWidth="1"/>
    <col min="8427" max="8427" width="9.28515625" style="75" customWidth="1"/>
    <col min="8428" max="8429" width="12.140625" style="75" customWidth="1"/>
    <col min="8430" max="8440" width="9.85546875" style="75" customWidth="1"/>
    <col min="8441" max="8441" width="11.5703125" style="75" customWidth="1"/>
    <col min="8442" max="8442" width="12.7109375" style="75" customWidth="1"/>
    <col min="8443" max="8443" width="9.140625" style="75"/>
    <col min="8444" max="8444" width="11.42578125" style="75" bestFit="1" customWidth="1"/>
    <col min="8445" max="8678" width="9.140625" style="75"/>
    <col min="8679" max="8679" width="3.140625" style="75" customWidth="1"/>
    <col min="8680" max="8680" width="6.140625" style="75" customWidth="1"/>
    <col min="8681" max="8681" width="10.28515625" style="75" customWidth="1"/>
    <col min="8682" max="8682" width="34.140625" style="75" customWidth="1"/>
    <col min="8683" max="8683" width="9.28515625" style="75" customWidth="1"/>
    <col min="8684" max="8685" width="12.140625" style="75" customWidth="1"/>
    <col min="8686" max="8696" width="9.85546875" style="75" customWidth="1"/>
    <col min="8697" max="8697" width="11.5703125" style="75" customWidth="1"/>
    <col min="8698" max="8698" width="12.7109375" style="75" customWidth="1"/>
    <col min="8699" max="8699" width="9.140625" style="75"/>
    <col min="8700" max="8700" width="11.42578125" style="75" bestFit="1" customWidth="1"/>
    <col min="8701" max="8934" width="9.140625" style="75"/>
    <col min="8935" max="8935" width="3.140625" style="75" customWidth="1"/>
    <col min="8936" max="8936" width="6.140625" style="75" customWidth="1"/>
    <col min="8937" max="8937" width="10.28515625" style="75" customWidth="1"/>
    <col min="8938" max="8938" width="34.140625" style="75" customWidth="1"/>
    <col min="8939" max="8939" width="9.28515625" style="75" customWidth="1"/>
    <col min="8940" max="8941" width="12.140625" style="75" customWidth="1"/>
    <col min="8942" max="8952" width="9.85546875" style="75" customWidth="1"/>
    <col min="8953" max="8953" width="11.5703125" style="75" customWidth="1"/>
    <col min="8954" max="8954" width="12.7109375" style="75" customWidth="1"/>
    <col min="8955" max="8955" width="9.140625" style="75"/>
    <col min="8956" max="8956" width="11.42578125" style="75" bestFit="1" customWidth="1"/>
    <col min="8957" max="9190" width="9.140625" style="75"/>
    <col min="9191" max="9191" width="3.140625" style="75" customWidth="1"/>
    <col min="9192" max="9192" width="6.140625" style="75" customWidth="1"/>
    <col min="9193" max="9193" width="10.28515625" style="75" customWidth="1"/>
    <col min="9194" max="9194" width="34.140625" style="75" customWidth="1"/>
    <col min="9195" max="9195" width="9.28515625" style="75" customWidth="1"/>
    <col min="9196" max="9197" width="12.140625" style="75" customWidth="1"/>
    <col min="9198" max="9208" width="9.85546875" style="75" customWidth="1"/>
    <col min="9209" max="9209" width="11.5703125" style="75" customWidth="1"/>
    <col min="9210" max="9210" width="12.7109375" style="75" customWidth="1"/>
    <col min="9211" max="9211" width="9.140625" style="75"/>
    <col min="9212" max="9212" width="11.42578125" style="75" bestFit="1" customWidth="1"/>
    <col min="9213" max="9446" width="9.140625" style="75"/>
    <col min="9447" max="9447" width="3.140625" style="75" customWidth="1"/>
    <col min="9448" max="9448" width="6.140625" style="75" customWidth="1"/>
    <col min="9449" max="9449" width="10.28515625" style="75" customWidth="1"/>
    <col min="9450" max="9450" width="34.140625" style="75" customWidth="1"/>
    <col min="9451" max="9451" width="9.28515625" style="75" customWidth="1"/>
    <col min="9452" max="9453" width="12.140625" style="75" customWidth="1"/>
    <col min="9454" max="9464" width="9.85546875" style="75" customWidth="1"/>
    <col min="9465" max="9465" width="11.5703125" style="75" customWidth="1"/>
    <col min="9466" max="9466" width="12.7109375" style="75" customWidth="1"/>
    <col min="9467" max="9467" width="9.140625" style="75"/>
    <col min="9468" max="9468" width="11.42578125" style="75" bestFit="1" customWidth="1"/>
    <col min="9469" max="9702" width="9.140625" style="75"/>
    <col min="9703" max="9703" width="3.140625" style="75" customWidth="1"/>
    <col min="9704" max="9704" width="6.140625" style="75" customWidth="1"/>
    <col min="9705" max="9705" width="10.28515625" style="75" customWidth="1"/>
    <col min="9706" max="9706" width="34.140625" style="75" customWidth="1"/>
    <col min="9707" max="9707" width="9.28515625" style="75" customWidth="1"/>
    <col min="9708" max="9709" width="12.140625" style="75" customWidth="1"/>
    <col min="9710" max="9720" width="9.85546875" style="75" customWidth="1"/>
    <col min="9721" max="9721" width="11.5703125" style="75" customWidth="1"/>
    <col min="9722" max="9722" width="12.7109375" style="75" customWidth="1"/>
    <col min="9723" max="9723" width="9.140625" style="75"/>
    <col min="9724" max="9724" width="11.42578125" style="75" bestFit="1" customWidth="1"/>
    <col min="9725" max="9958" width="9.140625" style="75"/>
    <col min="9959" max="9959" width="3.140625" style="75" customWidth="1"/>
    <col min="9960" max="9960" width="6.140625" style="75" customWidth="1"/>
    <col min="9961" max="9961" width="10.28515625" style="75" customWidth="1"/>
    <col min="9962" max="9962" width="34.140625" style="75" customWidth="1"/>
    <col min="9963" max="9963" width="9.28515625" style="75" customWidth="1"/>
    <col min="9964" max="9965" width="12.140625" style="75" customWidth="1"/>
    <col min="9966" max="9976" width="9.85546875" style="75" customWidth="1"/>
    <col min="9977" max="9977" width="11.5703125" style="75" customWidth="1"/>
    <col min="9978" max="9978" width="12.7109375" style="75" customWidth="1"/>
    <col min="9979" max="9979" width="9.140625" style="75"/>
    <col min="9980" max="9980" width="11.42578125" style="75" bestFit="1" customWidth="1"/>
    <col min="9981" max="10214" width="9.140625" style="75"/>
    <col min="10215" max="10215" width="3.140625" style="75" customWidth="1"/>
    <col min="10216" max="10216" width="6.140625" style="75" customWidth="1"/>
    <col min="10217" max="10217" width="10.28515625" style="75" customWidth="1"/>
    <col min="10218" max="10218" width="34.140625" style="75" customWidth="1"/>
    <col min="10219" max="10219" width="9.28515625" style="75" customWidth="1"/>
    <col min="10220" max="10221" width="12.140625" style="75" customWidth="1"/>
    <col min="10222" max="10232" width="9.85546875" style="75" customWidth="1"/>
    <col min="10233" max="10233" width="11.5703125" style="75" customWidth="1"/>
    <col min="10234" max="10234" width="12.7109375" style="75" customWidth="1"/>
    <col min="10235" max="10235" width="9.140625" style="75"/>
    <col min="10236" max="10236" width="11.42578125" style="75" bestFit="1" customWidth="1"/>
    <col min="10237" max="10470" width="9.140625" style="75"/>
    <col min="10471" max="10471" width="3.140625" style="75" customWidth="1"/>
    <col min="10472" max="10472" width="6.140625" style="75" customWidth="1"/>
    <col min="10473" max="10473" width="10.28515625" style="75" customWidth="1"/>
    <col min="10474" max="10474" width="34.140625" style="75" customWidth="1"/>
    <col min="10475" max="10475" width="9.28515625" style="75" customWidth="1"/>
    <col min="10476" max="10477" width="12.140625" style="75" customWidth="1"/>
    <col min="10478" max="10488" width="9.85546875" style="75" customWidth="1"/>
    <col min="10489" max="10489" width="11.5703125" style="75" customWidth="1"/>
    <col min="10490" max="10490" width="12.7109375" style="75" customWidth="1"/>
    <col min="10491" max="10491" width="9.140625" style="75"/>
    <col min="10492" max="10492" width="11.42578125" style="75" bestFit="1" customWidth="1"/>
    <col min="10493" max="10726" width="9.140625" style="75"/>
    <col min="10727" max="10727" width="3.140625" style="75" customWidth="1"/>
    <col min="10728" max="10728" width="6.140625" style="75" customWidth="1"/>
    <col min="10729" max="10729" width="10.28515625" style="75" customWidth="1"/>
    <col min="10730" max="10730" width="34.140625" style="75" customWidth="1"/>
    <col min="10731" max="10731" width="9.28515625" style="75" customWidth="1"/>
    <col min="10732" max="10733" width="12.140625" style="75" customWidth="1"/>
    <col min="10734" max="10744" width="9.85546875" style="75" customWidth="1"/>
    <col min="10745" max="10745" width="11.5703125" style="75" customWidth="1"/>
    <col min="10746" max="10746" width="12.7109375" style="75" customWidth="1"/>
    <col min="10747" max="10747" width="9.140625" style="75"/>
    <col min="10748" max="10748" width="11.42578125" style="75" bestFit="1" customWidth="1"/>
    <col min="10749" max="10982" width="9.140625" style="75"/>
    <col min="10983" max="10983" width="3.140625" style="75" customWidth="1"/>
    <col min="10984" max="10984" width="6.140625" style="75" customWidth="1"/>
    <col min="10985" max="10985" width="10.28515625" style="75" customWidth="1"/>
    <col min="10986" max="10986" width="34.140625" style="75" customWidth="1"/>
    <col min="10987" max="10987" width="9.28515625" style="75" customWidth="1"/>
    <col min="10988" max="10989" width="12.140625" style="75" customWidth="1"/>
    <col min="10990" max="11000" width="9.85546875" style="75" customWidth="1"/>
    <col min="11001" max="11001" width="11.5703125" style="75" customWidth="1"/>
    <col min="11002" max="11002" width="12.7109375" style="75" customWidth="1"/>
    <col min="11003" max="11003" width="9.140625" style="75"/>
    <col min="11004" max="11004" width="11.42578125" style="75" bestFit="1" customWidth="1"/>
    <col min="11005" max="11238" width="9.140625" style="75"/>
    <col min="11239" max="11239" width="3.140625" style="75" customWidth="1"/>
    <col min="11240" max="11240" width="6.140625" style="75" customWidth="1"/>
    <col min="11241" max="11241" width="10.28515625" style="75" customWidth="1"/>
    <col min="11242" max="11242" width="34.140625" style="75" customWidth="1"/>
    <col min="11243" max="11243" width="9.28515625" style="75" customWidth="1"/>
    <col min="11244" max="11245" width="12.140625" style="75" customWidth="1"/>
    <col min="11246" max="11256" width="9.85546875" style="75" customWidth="1"/>
    <col min="11257" max="11257" width="11.5703125" style="75" customWidth="1"/>
    <col min="11258" max="11258" width="12.7109375" style="75" customWidth="1"/>
    <col min="11259" max="11259" width="9.140625" style="75"/>
    <col min="11260" max="11260" width="11.42578125" style="75" bestFit="1" customWidth="1"/>
    <col min="11261" max="11494" width="9.140625" style="75"/>
    <col min="11495" max="11495" width="3.140625" style="75" customWidth="1"/>
    <col min="11496" max="11496" width="6.140625" style="75" customWidth="1"/>
    <col min="11497" max="11497" width="10.28515625" style="75" customWidth="1"/>
    <col min="11498" max="11498" width="34.140625" style="75" customWidth="1"/>
    <col min="11499" max="11499" width="9.28515625" style="75" customWidth="1"/>
    <col min="11500" max="11501" width="12.140625" style="75" customWidth="1"/>
    <col min="11502" max="11512" width="9.85546875" style="75" customWidth="1"/>
    <col min="11513" max="11513" width="11.5703125" style="75" customWidth="1"/>
    <col min="11514" max="11514" width="12.7109375" style="75" customWidth="1"/>
    <col min="11515" max="11515" width="9.140625" style="75"/>
    <col min="11516" max="11516" width="11.42578125" style="75" bestFit="1" customWidth="1"/>
    <col min="11517" max="11750" width="9.140625" style="75"/>
    <col min="11751" max="11751" width="3.140625" style="75" customWidth="1"/>
    <col min="11752" max="11752" width="6.140625" style="75" customWidth="1"/>
    <col min="11753" max="11753" width="10.28515625" style="75" customWidth="1"/>
    <col min="11754" max="11754" width="34.140625" style="75" customWidth="1"/>
    <col min="11755" max="11755" width="9.28515625" style="75" customWidth="1"/>
    <col min="11756" max="11757" width="12.140625" style="75" customWidth="1"/>
    <col min="11758" max="11768" width="9.85546875" style="75" customWidth="1"/>
    <col min="11769" max="11769" width="11.5703125" style="75" customWidth="1"/>
    <col min="11770" max="11770" width="12.7109375" style="75" customWidth="1"/>
    <col min="11771" max="11771" width="9.140625" style="75"/>
    <col min="11772" max="11772" width="11.42578125" style="75" bestFit="1" customWidth="1"/>
    <col min="11773" max="12006" width="9.140625" style="75"/>
    <col min="12007" max="12007" width="3.140625" style="75" customWidth="1"/>
    <col min="12008" max="12008" width="6.140625" style="75" customWidth="1"/>
    <col min="12009" max="12009" width="10.28515625" style="75" customWidth="1"/>
    <col min="12010" max="12010" width="34.140625" style="75" customWidth="1"/>
    <col min="12011" max="12011" width="9.28515625" style="75" customWidth="1"/>
    <col min="12012" max="12013" width="12.140625" style="75" customWidth="1"/>
    <col min="12014" max="12024" width="9.85546875" style="75" customWidth="1"/>
    <col min="12025" max="12025" width="11.5703125" style="75" customWidth="1"/>
    <col min="12026" max="12026" width="12.7109375" style="75" customWidth="1"/>
    <col min="12027" max="12027" width="9.140625" style="75"/>
    <col min="12028" max="12028" width="11.42578125" style="75" bestFit="1" customWidth="1"/>
    <col min="12029" max="12262" width="9.140625" style="75"/>
    <col min="12263" max="12263" width="3.140625" style="75" customWidth="1"/>
    <col min="12264" max="12264" width="6.140625" style="75" customWidth="1"/>
    <col min="12265" max="12265" width="10.28515625" style="75" customWidth="1"/>
    <col min="12266" max="12266" width="34.140625" style="75" customWidth="1"/>
    <col min="12267" max="12267" width="9.28515625" style="75" customWidth="1"/>
    <col min="12268" max="12269" width="12.140625" style="75" customWidth="1"/>
    <col min="12270" max="12280" width="9.85546875" style="75" customWidth="1"/>
    <col min="12281" max="12281" width="11.5703125" style="75" customWidth="1"/>
    <col min="12282" max="12282" width="12.7109375" style="75" customWidth="1"/>
    <col min="12283" max="12283" width="9.140625" style="75"/>
    <col min="12284" max="12284" width="11.42578125" style="75" bestFit="1" customWidth="1"/>
    <col min="12285" max="12518" width="9.140625" style="75"/>
    <col min="12519" max="12519" width="3.140625" style="75" customWidth="1"/>
    <col min="12520" max="12520" width="6.140625" style="75" customWidth="1"/>
    <col min="12521" max="12521" width="10.28515625" style="75" customWidth="1"/>
    <col min="12522" max="12522" width="34.140625" style="75" customWidth="1"/>
    <col min="12523" max="12523" width="9.28515625" style="75" customWidth="1"/>
    <col min="12524" max="12525" width="12.140625" style="75" customWidth="1"/>
    <col min="12526" max="12536" width="9.85546875" style="75" customWidth="1"/>
    <col min="12537" max="12537" width="11.5703125" style="75" customWidth="1"/>
    <col min="12538" max="12538" width="12.7109375" style="75" customWidth="1"/>
    <col min="12539" max="12539" width="9.140625" style="75"/>
    <col min="12540" max="12540" width="11.42578125" style="75" bestFit="1" customWidth="1"/>
    <col min="12541" max="12774" width="9.140625" style="75"/>
    <col min="12775" max="12775" width="3.140625" style="75" customWidth="1"/>
    <col min="12776" max="12776" width="6.140625" style="75" customWidth="1"/>
    <col min="12777" max="12777" width="10.28515625" style="75" customWidth="1"/>
    <col min="12778" max="12778" width="34.140625" style="75" customWidth="1"/>
    <col min="12779" max="12779" width="9.28515625" style="75" customWidth="1"/>
    <col min="12780" max="12781" width="12.140625" style="75" customWidth="1"/>
    <col min="12782" max="12792" width="9.85546875" style="75" customWidth="1"/>
    <col min="12793" max="12793" width="11.5703125" style="75" customWidth="1"/>
    <col min="12794" max="12794" width="12.7109375" style="75" customWidth="1"/>
    <col min="12795" max="12795" width="9.140625" style="75"/>
    <col min="12796" max="12796" width="11.42578125" style="75" bestFit="1" customWidth="1"/>
    <col min="12797" max="13030" width="9.140625" style="75"/>
    <col min="13031" max="13031" width="3.140625" style="75" customWidth="1"/>
    <col min="13032" max="13032" width="6.140625" style="75" customWidth="1"/>
    <col min="13033" max="13033" width="10.28515625" style="75" customWidth="1"/>
    <col min="13034" max="13034" width="34.140625" style="75" customWidth="1"/>
    <col min="13035" max="13035" width="9.28515625" style="75" customWidth="1"/>
    <col min="13036" max="13037" width="12.140625" style="75" customWidth="1"/>
    <col min="13038" max="13048" width="9.85546875" style="75" customWidth="1"/>
    <col min="13049" max="13049" width="11.5703125" style="75" customWidth="1"/>
    <col min="13050" max="13050" width="12.7109375" style="75" customWidth="1"/>
    <col min="13051" max="13051" width="9.140625" style="75"/>
    <col min="13052" max="13052" width="11.42578125" style="75" bestFit="1" customWidth="1"/>
    <col min="13053" max="13286" width="9.140625" style="75"/>
    <col min="13287" max="13287" width="3.140625" style="75" customWidth="1"/>
    <col min="13288" max="13288" width="6.140625" style="75" customWidth="1"/>
    <col min="13289" max="13289" width="10.28515625" style="75" customWidth="1"/>
    <col min="13290" max="13290" width="34.140625" style="75" customWidth="1"/>
    <col min="13291" max="13291" width="9.28515625" style="75" customWidth="1"/>
    <col min="13292" max="13293" width="12.140625" style="75" customWidth="1"/>
    <col min="13294" max="13304" width="9.85546875" style="75" customWidth="1"/>
    <col min="13305" max="13305" width="11.5703125" style="75" customWidth="1"/>
    <col min="13306" max="13306" width="12.7109375" style="75" customWidth="1"/>
    <col min="13307" max="13307" width="9.140625" style="75"/>
    <col min="13308" max="13308" width="11.42578125" style="75" bestFit="1" customWidth="1"/>
    <col min="13309" max="13542" width="9.140625" style="75"/>
    <col min="13543" max="13543" width="3.140625" style="75" customWidth="1"/>
    <col min="13544" max="13544" width="6.140625" style="75" customWidth="1"/>
    <col min="13545" max="13545" width="10.28515625" style="75" customWidth="1"/>
    <col min="13546" max="13546" width="34.140625" style="75" customWidth="1"/>
    <col min="13547" max="13547" width="9.28515625" style="75" customWidth="1"/>
    <col min="13548" max="13549" width="12.140625" style="75" customWidth="1"/>
    <col min="13550" max="13560" width="9.85546875" style="75" customWidth="1"/>
    <col min="13561" max="13561" width="11.5703125" style="75" customWidth="1"/>
    <col min="13562" max="13562" width="12.7109375" style="75" customWidth="1"/>
    <col min="13563" max="13563" width="9.140625" style="75"/>
    <col min="13564" max="13564" width="11.42578125" style="75" bestFit="1" customWidth="1"/>
    <col min="13565" max="13798" width="9.140625" style="75"/>
    <col min="13799" max="13799" width="3.140625" style="75" customWidth="1"/>
    <col min="13800" max="13800" width="6.140625" style="75" customWidth="1"/>
    <col min="13801" max="13801" width="10.28515625" style="75" customWidth="1"/>
    <col min="13802" max="13802" width="34.140625" style="75" customWidth="1"/>
    <col min="13803" max="13803" width="9.28515625" style="75" customWidth="1"/>
    <col min="13804" max="13805" width="12.140625" style="75" customWidth="1"/>
    <col min="13806" max="13816" width="9.85546875" style="75" customWidth="1"/>
    <col min="13817" max="13817" width="11.5703125" style="75" customWidth="1"/>
    <col min="13818" max="13818" width="12.7109375" style="75" customWidth="1"/>
    <col min="13819" max="13819" width="9.140625" style="75"/>
    <col min="13820" max="13820" width="11.42578125" style="75" bestFit="1" customWidth="1"/>
    <col min="13821" max="14054" width="9.140625" style="75"/>
    <col min="14055" max="14055" width="3.140625" style="75" customWidth="1"/>
    <col min="14056" max="14056" width="6.140625" style="75" customWidth="1"/>
    <col min="14057" max="14057" width="10.28515625" style="75" customWidth="1"/>
    <col min="14058" max="14058" width="34.140625" style="75" customWidth="1"/>
    <col min="14059" max="14059" width="9.28515625" style="75" customWidth="1"/>
    <col min="14060" max="14061" width="12.140625" style="75" customWidth="1"/>
    <col min="14062" max="14072" width="9.85546875" style="75" customWidth="1"/>
    <col min="14073" max="14073" width="11.5703125" style="75" customWidth="1"/>
    <col min="14074" max="14074" width="12.7109375" style="75" customWidth="1"/>
    <col min="14075" max="14075" width="9.140625" style="75"/>
    <col min="14076" max="14076" width="11.42578125" style="75" bestFit="1" customWidth="1"/>
    <col min="14077" max="14310" width="9.140625" style="75"/>
    <col min="14311" max="14311" width="3.140625" style="75" customWidth="1"/>
    <col min="14312" max="14312" width="6.140625" style="75" customWidth="1"/>
    <col min="14313" max="14313" width="10.28515625" style="75" customWidth="1"/>
    <col min="14314" max="14314" width="34.140625" style="75" customWidth="1"/>
    <col min="14315" max="14315" width="9.28515625" style="75" customWidth="1"/>
    <col min="14316" max="14317" width="12.140625" style="75" customWidth="1"/>
    <col min="14318" max="14328" width="9.85546875" style="75" customWidth="1"/>
    <col min="14329" max="14329" width="11.5703125" style="75" customWidth="1"/>
    <col min="14330" max="14330" width="12.7109375" style="75" customWidth="1"/>
    <col min="14331" max="14331" width="9.140625" style="75"/>
    <col min="14332" max="14332" width="11.42578125" style="75" bestFit="1" customWidth="1"/>
    <col min="14333" max="14566" width="9.140625" style="75"/>
    <col min="14567" max="14567" width="3.140625" style="75" customWidth="1"/>
    <col min="14568" max="14568" width="6.140625" style="75" customWidth="1"/>
    <col min="14569" max="14569" width="10.28515625" style="75" customWidth="1"/>
    <col min="14570" max="14570" width="34.140625" style="75" customWidth="1"/>
    <col min="14571" max="14571" width="9.28515625" style="75" customWidth="1"/>
    <col min="14572" max="14573" width="12.140625" style="75" customWidth="1"/>
    <col min="14574" max="14584" width="9.85546875" style="75" customWidth="1"/>
    <col min="14585" max="14585" width="11.5703125" style="75" customWidth="1"/>
    <col min="14586" max="14586" width="12.7109375" style="75" customWidth="1"/>
    <col min="14587" max="14587" width="9.140625" style="75"/>
    <col min="14588" max="14588" width="11.42578125" style="75" bestFit="1" customWidth="1"/>
    <col min="14589" max="14822" width="9.140625" style="75"/>
    <col min="14823" max="14823" width="3.140625" style="75" customWidth="1"/>
    <col min="14824" max="14824" width="6.140625" style="75" customWidth="1"/>
    <col min="14825" max="14825" width="10.28515625" style="75" customWidth="1"/>
    <col min="14826" max="14826" width="34.140625" style="75" customWidth="1"/>
    <col min="14827" max="14827" width="9.28515625" style="75" customWidth="1"/>
    <col min="14828" max="14829" width="12.140625" style="75" customWidth="1"/>
    <col min="14830" max="14840" width="9.85546875" style="75" customWidth="1"/>
    <col min="14841" max="14841" width="11.5703125" style="75" customWidth="1"/>
    <col min="14842" max="14842" width="12.7109375" style="75" customWidth="1"/>
    <col min="14843" max="14843" width="9.140625" style="75"/>
    <col min="14844" max="14844" width="11.42578125" style="75" bestFit="1" customWidth="1"/>
    <col min="14845" max="15078" width="9.140625" style="75"/>
    <col min="15079" max="15079" width="3.140625" style="75" customWidth="1"/>
    <col min="15080" max="15080" width="6.140625" style="75" customWidth="1"/>
    <col min="15081" max="15081" width="10.28515625" style="75" customWidth="1"/>
    <col min="15082" max="15082" width="34.140625" style="75" customWidth="1"/>
    <col min="15083" max="15083" width="9.28515625" style="75" customWidth="1"/>
    <col min="15084" max="15085" width="12.140625" style="75" customWidth="1"/>
    <col min="15086" max="15096" width="9.85546875" style="75" customWidth="1"/>
    <col min="15097" max="15097" width="11.5703125" style="75" customWidth="1"/>
    <col min="15098" max="15098" width="12.7109375" style="75" customWidth="1"/>
    <col min="15099" max="15099" width="9.140625" style="75"/>
    <col min="15100" max="15100" width="11.42578125" style="75" bestFit="1" customWidth="1"/>
    <col min="15101" max="15334" width="9.140625" style="75"/>
    <col min="15335" max="15335" width="3.140625" style="75" customWidth="1"/>
    <col min="15336" max="15336" width="6.140625" style="75" customWidth="1"/>
    <col min="15337" max="15337" width="10.28515625" style="75" customWidth="1"/>
    <col min="15338" max="15338" width="34.140625" style="75" customWidth="1"/>
    <col min="15339" max="15339" width="9.28515625" style="75" customWidth="1"/>
    <col min="15340" max="15341" width="12.140625" style="75" customWidth="1"/>
    <col min="15342" max="15352" width="9.85546875" style="75" customWidth="1"/>
    <col min="15353" max="15353" width="11.5703125" style="75" customWidth="1"/>
    <col min="15354" max="15354" width="12.7109375" style="75" customWidth="1"/>
    <col min="15355" max="15355" width="9.140625" style="75"/>
    <col min="15356" max="15356" width="11.42578125" style="75" bestFit="1" customWidth="1"/>
    <col min="15357" max="15590" width="9.140625" style="75"/>
    <col min="15591" max="15591" width="3.140625" style="75" customWidth="1"/>
    <col min="15592" max="15592" width="6.140625" style="75" customWidth="1"/>
    <col min="15593" max="15593" width="10.28515625" style="75" customWidth="1"/>
    <col min="15594" max="15594" width="34.140625" style="75" customWidth="1"/>
    <col min="15595" max="15595" width="9.28515625" style="75" customWidth="1"/>
    <col min="15596" max="15597" width="12.140625" style="75" customWidth="1"/>
    <col min="15598" max="15608" width="9.85546875" style="75" customWidth="1"/>
    <col min="15609" max="15609" width="11.5703125" style="75" customWidth="1"/>
    <col min="15610" max="15610" width="12.7109375" style="75" customWidth="1"/>
    <col min="15611" max="15611" width="9.140625" style="75"/>
    <col min="15612" max="15612" width="11.42578125" style="75" bestFit="1" customWidth="1"/>
    <col min="15613" max="15846" width="9.140625" style="75"/>
    <col min="15847" max="15847" width="3.140625" style="75" customWidth="1"/>
    <col min="15848" max="15848" width="6.140625" style="75" customWidth="1"/>
    <col min="15849" max="15849" width="10.28515625" style="75" customWidth="1"/>
    <col min="15850" max="15850" width="34.140625" style="75" customWidth="1"/>
    <col min="15851" max="15851" width="9.28515625" style="75" customWidth="1"/>
    <col min="15852" max="15853" width="12.140625" style="75" customWidth="1"/>
    <col min="15854" max="15864" width="9.85546875" style="75" customWidth="1"/>
    <col min="15865" max="15865" width="11.5703125" style="75" customWidth="1"/>
    <col min="15866" max="15866" width="12.7109375" style="75" customWidth="1"/>
    <col min="15867" max="15867" width="9.140625" style="75"/>
    <col min="15868" max="15868" width="11.42578125" style="75" bestFit="1" customWidth="1"/>
    <col min="15869" max="16102" width="9.140625" style="75"/>
    <col min="16103" max="16103" width="3.140625" style="75" customWidth="1"/>
    <col min="16104" max="16104" width="6.140625" style="75" customWidth="1"/>
    <col min="16105" max="16105" width="10.28515625" style="75" customWidth="1"/>
    <col min="16106" max="16106" width="34.140625" style="75" customWidth="1"/>
    <col min="16107" max="16107" width="9.28515625" style="75" customWidth="1"/>
    <col min="16108" max="16109" width="12.140625" style="75" customWidth="1"/>
    <col min="16110" max="16120" width="9.85546875" style="75" customWidth="1"/>
    <col min="16121" max="16121" width="11.5703125" style="75" customWidth="1"/>
    <col min="16122" max="16122" width="12.7109375" style="75" customWidth="1"/>
    <col min="16123" max="16123" width="9.140625" style="75"/>
    <col min="16124" max="16124" width="11.42578125" style="75" bestFit="1" customWidth="1"/>
    <col min="16125" max="16384" width="9.140625" style="75"/>
  </cols>
  <sheetData>
    <row r="1" spans="2:6" s="65" customFormat="1" ht="46.5" customHeight="1" x14ac:dyDescent="0.25">
      <c r="B1" s="304" t="s">
        <v>9</v>
      </c>
      <c r="C1" s="304"/>
      <c r="D1" s="304"/>
      <c r="E1" s="304"/>
      <c r="F1" s="304"/>
    </row>
    <row r="2" spans="2:6" s="65" customFormat="1" ht="19.5" customHeight="1" x14ac:dyDescent="0.25">
      <c r="B2" s="305" t="s">
        <v>10</v>
      </c>
      <c r="C2" s="305"/>
      <c r="D2" s="305"/>
      <c r="E2" s="305"/>
      <c r="F2" s="305"/>
    </row>
    <row r="3" spans="2:6" s="66" customFormat="1" ht="23.25" customHeight="1" x14ac:dyDescent="0.25">
      <c r="B3" s="306" t="s">
        <v>11</v>
      </c>
      <c r="C3" s="306" t="s">
        <v>12</v>
      </c>
      <c r="D3" s="306"/>
      <c r="E3" s="306" t="s">
        <v>13</v>
      </c>
      <c r="F3" s="307" t="s">
        <v>14</v>
      </c>
    </row>
    <row r="4" spans="2:6" s="66" customFormat="1" x14ac:dyDescent="0.25">
      <c r="B4" s="306"/>
      <c r="C4" s="306"/>
      <c r="D4" s="306"/>
      <c r="E4" s="306"/>
      <c r="F4" s="307"/>
    </row>
    <row r="5" spans="2:6" s="66" customFormat="1" ht="15" customHeight="1" x14ac:dyDescent="0.25">
      <c r="B5" s="69">
        <v>1</v>
      </c>
      <c r="C5" s="303" t="s">
        <v>5</v>
      </c>
      <c r="D5" s="303"/>
      <c r="E5" s="69" t="s">
        <v>15</v>
      </c>
      <c r="F5" s="82">
        <f>314.94+24.63-122.77</f>
        <v>216.8</v>
      </c>
    </row>
    <row r="6" spans="2:6" s="66" customFormat="1" ht="15" customHeight="1" x14ac:dyDescent="0.25">
      <c r="B6" s="71"/>
      <c r="C6" s="301" t="s">
        <v>16</v>
      </c>
      <c r="D6" s="301"/>
      <c r="E6" s="68" t="s">
        <v>15</v>
      </c>
      <c r="F6" s="83">
        <f>(314.94-122.77)*1.015</f>
        <v>195.05255</v>
      </c>
    </row>
    <row r="7" spans="2:6" s="66" customFormat="1" ht="15" customHeight="1" x14ac:dyDescent="0.25">
      <c r="B7" s="71"/>
      <c r="C7" s="301" t="s">
        <v>17</v>
      </c>
      <c r="D7" s="301"/>
      <c r="E7" s="68" t="s">
        <v>15</v>
      </c>
      <c r="F7" s="83">
        <f>24.63*1.015</f>
        <v>24.999449999999996</v>
      </c>
    </row>
    <row r="8" spans="2:6" s="66" customFormat="1" ht="15" customHeight="1" x14ac:dyDescent="0.25">
      <c r="B8" s="71"/>
      <c r="C8" s="302" t="s">
        <v>18</v>
      </c>
      <c r="D8" s="302"/>
      <c r="E8" s="68" t="s">
        <v>1</v>
      </c>
      <c r="F8" s="84">
        <f>6.02398*1.01-2.29</f>
        <v>3.7942197999999996</v>
      </c>
    </row>
    <row r="9" spans="2:6" s="66" customFormat="1" ht="15" customHeight="1" x14ac:dyDescent="0.25">
      <c r="B9" s="71"/>
      <c r="C9" s="302" t="s">
        <v>19</v>
      </c>
      <c r="D9" s="302"/>
      <c r="E9" s="68" t="s">
        <v>1</v>
      </c>
      <c r="F9" s="84">
        <f>5.9148*1.01-2.82</f>
        <v>3.1539480000000002</v>
      </c>
    </row>
    <row r="10" spans="2:6" s="66" customFormat="1" ht="15" customHeight="1" x14ac:dyDescent="0.25">
      <c r="B10" s="71"/>
      <c r="C10" s="302" t="s">
        <v>20</v>
      </c>
      <c r="D10" s="302"/>
      <c r="E10" s="68" t="s">
        <v>1</v>
      </c>
      <c r="F10" s="84">
        <f>33.87893*1.01-17.53</f>
        <v>16.687719299999998</v>
      </c>
    </row>
    <row r="11" spans="2:6" s="66" customFormat="1" ht="15" customHeight="1" x14ac:dyDescent="0.25">
      <c r="B11" s="71"/>
      <c r="C11" s="302" t="s">
        <v>21</v>
      </c>
      <c r="D11" s="302"/>
      <c r="E11" s="68" t="s">
        <v>1</v>
      </c>
      <c r="F11" s="84">
        <f>6.46362*1.01-4.53</f>
        <v>1.9982561999999993</v>
      </c>
    </row>
    <row r="12" spans="2:6" s="66" customFormat="1" ht="15" customHeight="1" x14ac:dyDescent="0.25">
      <c r="B12" s="71"/>
      <c r="C12" s="302" t="s">
        <v>22</v>
      </c>
      <c r="D12" s="302"/>
      <c r="E12" s="68" t="s">
        <v>1</v>
      </c>
      <c r="F12" s="84">
        <f>0.82722*1.01-0.36</f>
        <v>0.47549219999999992</v>
      </c>
    </row>
    <row r="13" spans="2:6" s="66" customFormat="1" ht="15" customHeight="1" x14ac:dyDescent="0.25">
      <c r="B13" s="71"/>
      <c r="C13" s="302" t="s">
        <v>23</v>
      </c>
      <c r="D13" s="302"/>
      <c r="E13" s="68" t="s">
        <v>1</v>
      </c>
      <c r="F13" s="84">
        <f>0.56457*1.01-0.01</f>
        <v>0.56021569999999998</v>
      </c>
    </row>
    <row r="14" spans="2:6" s="66" customFormat="1" ht="15" customHeight="1" x14ac:dyDescent="0.25">
      <c r="B14" s="71"/>
      <c r="C14" s="302" t="s">
        <v>24</v>
      </c>
      <c r="D14" s="302"/>
      <c r="E14" s="68" t="s">
        <v>1</v>
      </c>
      <c r="F14" s="84">
        <f>1.01*20.12312-8.06</f>
        <v>12.264351199999998</v>
      </c>
    </row>
    <row r="15" spans="2:6" s="66" customFormat="1" ht="15" customHeight="1" x14ac:dyDescent="0.25">
      <c r="B15" s="71"/>
      <c r="C15" s="302" t="s">
        <v>25</v>
      </c>
      <c r="D15" s="302"/>
      <c r="E15" s="68" t="s">
        <v>1</v>
      </c>
      <c r="F15" s="84">
        <f>0.02176*1.01</f>
        <v>2.1977600000000003E-2</v>
      </c>
    </row>
    <row r="16" spans="2:6" s="66" customFormat="1" ht="15" customHeight="1" x14ac:dyDescent="0.25">
      <c r="B16" s="71"/>
      <c r="C16" s="302" t="s">
        <v>26</v>
      </c>
      <c r="D16" s="302"/>
      <c r="E16" s="68" t="s">
        <v>1</v>
      </c>
      <c r="F16" s="84">
        <f>F5*1.55/1000</f>
        <v>0.33604000000000001</v>
      </c>
    </row>
    <row r="17" spans="1:6" s="70" customFormat="1" ht="31.5" customHeight="1" x14ac:dyDescent="0.25">
      <c r="A17" s="66"/>
      <c r="B17" s="69">
        <v>2</v>
      </c>
      <c r="C17" s="303" t="s">
        <v>27</v>
      </c>
      <c r="D17" s="303"/>
      <c r="E17" s="69" t="s">
        <v>15</v>
      </c>
      <c r="F17" s="85">
        <f>982.1-470.25</f>
        <v>511.85</v>
      </c>
    </row>
    <row r="18" spans="1:6" s="70" customFormat="1" ht="15" customHeight="1" x14ac:dyDescent="0.25">
      <c r="A18" s="66"/>
      <c r="B18" s="71"/>
      <c r="C18" s="301" t="s">
        <v>16</v>
      </c>
      <c r="D18" s="301"/>
      <c r="E18" s="68" t="s">
        <v>15</v>
      </c>
      <c r="F18" s="86">
        <f>F17*1.015</f>
        <v>519.52774999999997</v>
      </c>
    </row>
    <row r="19" spans="1:6" s="70" customFormat="1" ht="15" customHeight="1" x14ac:dyDescent="0.25">
      <c r="A19" s="66"/>
      <c r="B19" s="71"/>
      <c r="C19" s="302" t="s">
        <v>28</v>
      </c>
      <c r="D19" s="302"/>
      <c r="E19" s="71" t="s">
        <v>1</v>
      </c>
      <c r="F19" s="72">
        <f>7.9042*1.01-3.82</f>
        <v>4.1632420000000003</v>
      </c>
    </row>
    <row r="20" spans="1:6" s="70" customFormat="1" ht="15" customHeight="1" x14ac:dyDescent="0.25">
      <c r="A20" s="66"/>
      <c r="B20" s="71"/>
      <c r="C20" s="302" t="s">
        <v>22</v>
      </c>
      <c r="D20" s="302"/>
      <c r="E20" s="71" t="s">
        <v>1</v>
      </c>
      <c r="F20" s="72">
        <f>64.48*1.01-25.35</f>
        <v>39.774800000000006</v>
      </c>
    </row>
    <row r="21" spans="1:6" s="70" customFormat="1" ht="15" customHeight="1" x14ac:dyDescent="0.25">
      <c r="A21" s="66"/>
      <c r="B21" s="71"/>
      <c r="C21" s="302" t="s">
        <v>26</v>
      </c>
      <c r="D21" s="302"/>
      <c r="E21" s="71" t="s">
        <v>1</v>
      </c>
      <c r="F21" s="72">
        <f>(F17*0.9/1000)-0.25</f>
        <v>0.21066500000000005</v>
      </c>
    </row>
    <row r="22" spans="1:6" s="70" customFormat="1" ht="15" customHeight="1" x14ac:dyDescent="0.25">
      <c r="A22" s="66"/>
      <c r="B22" s="69">
        <v>3</v>
      </c>
      <c r="C22" s="303" t="s">
        <v>29</v>
      </c>
      <c r="D22" s="303"/>
      <c r="E22" s="69" t="s">
        <v>15</v>
      </c>
      <c r="F22" s="87">
        <f>78-38</f>
        <v>40</v>
      </c>
    </row>
    <row r="23" spans="1:6" s="70" customFormat="1" ht="15" customHeight="1" x14ac:dyDescent="0.25">
      <c r="A23" s="66"/>
      <c r="B23" s="71"/>
      <c r="C23" s="301" t="s">
        <v>16</v>
      </c>
      <c r="D23" s="301"/>
      <c r="E23" s="68" t="s">
        <v>15</v>
      </c>
      <c r="F23" s="74">
        <f>F22*1.015</f>
        <v>40.599999999999994</v>
      </c>
    </row>
    <row r="24" spans="1:6" s="70" customFormat="1" ht="15" customHeight="1" x14ac:dyDescent="0.25">
      <c r="A24" s="66"/>
      <c r="B24" s="71"/>
      <c r="C24" s="302" t="s">
        <v>28</v>
      </c>
      <c r="D24" s="302"/>
      <c r="E24" s="71" t="s">
        <v>1</v>
      </c>
      <c r="F24" s="74">
        <f>10.48076*1.01-5.29</f>
        <v>5.2955676000000009</v>
      </c>
    </row>
    <row r="25" spans="1:6" s="70" customFormat="1" ht="15" customHeight="1" x14ac:dyDescent="0.25">
      <c r="A25" s="66"/>
      <c r="B25" s="71"/>
      <c r="C25" s="302" t="s">
        <v>22</v>
      </c>
      <c r="D25" s="302"/>
      <c r="E25" s="71" t="s">
        <v>1</v>
      </c>
      <c r="F25" s="74">
        <f>0.60744*1.01-0.31</f>
        <v>0.30351440000000002</v>
      </c>
    </row>
    <row r="26" spans="1:6" s="70" customFormat="1" ht="15" customHeight="1" x14ac:dyDescent="0.25">
      <c r="A26" s="66"/>
      <c r="B26" s="71"/>
      <c r="C26" s="302" t="s">
        <v>26</v>
      </c>
      <c r="D26" s="302"/>
      <c r="E26" s="71" t="s">
        <v>1</v>
      </c>
      <c r="F26" s="74">
        <f>F22*0.9/1000</f>
        <v>3.5999999999999997E-2</v>
      </c>
    </row>
    <row r="27" spans="1:6" s="70" customFormat="1" ht="75.75" customHeight="1" x14ac:dyDescent="0.25">
      <c r="A27" s="66"/>
      <c r="B27" s="69">
        <v>4</v>
      </c>
      <c r="C27" s="303" t="s">
        <v>30</v>
      </c>
      <c r="D27" s="303"/>
      <c r="E27" s="69" t="s">
        <v>15</v>
      </c>
      <c r="F27" s="69">
        <v>3.6</v>
      </c>
    </row>
    <row r="28" spans="1:6" s="70" customFormat="1" ht="15" customHeight="1" x14ac:dyDescent="0.25">
      <c r="A28" s="66"/>
      <c r="B28" s="71"/>
      <c r="C28" s="301" t="s">
        <v>31</v>
      </c>
      <c r="D28" s="301"/>
      <c r="E28" s="68" t="s">
        <v>15</v>
      </c>
      <c r="F28" s="86">
        <f>F27*1.015</f>
        <v>3.6539999999999999</v>
      </c>
    </row>
    <row r="29" spans="1:6" s="70" customFormat="1" ht="15" customHeight="1" x14ac:dyDescent="0.25">
      <c r="A29" s="66"/>
      <c r="B29" s="71"/>
      <c r="C29" s="302" t="s">
        <v>32</v>
      </c>
      <c r="D29" s="302"/>
      <c r="E29" s="71" t="s">
        <v>1</v>
      </c>
      <c r="F29" s="74">
        <f>0.1741*1.01</f>
        <v>0.175841</v>
      </c>
    </row>
    <row r="30" spans="1:6" s="70" customFormat="1" ht="15" customHeight="1" x14ac:dyDescent="0.25">
      <c r="A30" s="66"/>
      <c r="B30" s="71"/>
      <c r="C30" s="302" t="s">
        <v>24</v>
      </c>
      <c r="D30" s="302"/>
      <c r="E30" s="71" t="s">
        <v>1</v>
      </c>
      <c r="F30" s="74">
        <f>0.03414*1.01</f>
        <v>3.4481399999999995E-2</v>
      </c>
    </row>
    <row r="31" spans="1:6" s="70" customFormat="1" ht="15" customHeight="1" x14ac:dyDescent="0.25">
      <c r="A31" s="66"/>
      <c r="B31" s="71"/>
      <c r="C31" s="302" t="s">
        <v>33</v>
      </c>
      <c r="D31" s="302"/>
      <c r="E31" s="71" t="s">
        <v>1</v>
      </c>
      <c r="F31" s="74">
        <f>F27*1.55/1000</f>
        <v>5.5799999999999999E-3</v>
      </c>
    </row>
    <row r="32" spans="1:6" s="70" customFormat="1" ht="15" customHeight="1" x14ac:dyDescent="0.25">
      <c r="A32" s="66"/>
      <c r="B32" s="69">
        <v>5</v>
      </c>
      <c r="C32" s="303" t="s">
        <v>34</v>
      </c>
      <c r="D32" s="303"/>
      <c r="E32" s="73" t="s">
        <v>15</v>
      </c>
      <c r="F32" s="69">
        <f>101.63+1.12-16.12</f>
        <v>86.63</v>
      </c>
    </row>
    <row r="33" spans="1:6" s="70" customFormat="1" ht="15" customHeight="1" x14ac:dyDescent="0.25">
      <c r="A33" s="66"/>
      <c r="B33" s="71"/>
      <c r="C33" s="301" t="s">
        <v>16</v>
      </c>
      <c r="D33" s="301"/>
      <c r="E33" s="68" t="s">
        <v>15</v>
      </c>
      <c r="F33" s="88">
        <f>(101.63-16.12)*1.015</f>
        <v>86.792649999999981</v>
      </c>
    </row>
    <row r="34" spans="1:6" s="70" customFormat="1" ht="15" customHeight="1" x14ac:dyDescent="0.25">
      <c r="A34" s="66"/>
      <c r="B34" s="71"/>
      <c r="C34" s="301" t="s">
        <v>17</v>
      </c>
      <c r="D34" s="301"/>
      <c r="E34" s="68" t="s">
        <v>15</v>
      </c>
      <c r="F34" s="74">
        <f>1.12*1.015</f>
        <v>1.1368</v>
      </c>
    </row>
    <row r="35" spans="1:6" s="70" customFormat="1" ht="15" customHeight="1" x14ac:dyDescent="0.25">
      <c r="A35" s="66"/>
      <c r="B35" s="71"/>
      <c r="C35" s="302" t="s">
        <v>20</v>
      </c>
      <c r="D35" s="302"/>
      <c r="E35" s="68" t="s">
        <v>1</v>
      </c>
      <c r="F35" s="74">
        <f>4.5488*1.01-0.15</f>
        <v>4.4442879999999994</v>
      </c>
    </row>
    <row r="36" spans="1:6" s="70" customFormat="1" ht="15" customHeight="1" x14ac:dyDescent="0.25">
      <c r="A36" s="66"/>
      <c r="B36" s="71"/>
      <c r="C36" s="302" t="s">
        <v>21</v>
      </c>
      <c r="D36" s="302"/>
      <c r="E36" s="68" t="s">
        <v>1</v>
      </c>
      <c r="F36" s="74">
        <f>(7.26997+0.0184)*1.01-1.04</f>
        <v>6.3212536999999998</v>
      </c>
    </row>
    <row r="37" spans="1:6" s="70" customFormat="1" ht="15" customHeight="1" x14ac:dyDescent="0.25">
      <c r="A37" s="66"/>
      <c r="B37" s="71"/>
      <c r="C37" s="302" t="s">
        <v>22</v>
      </c>
      <c r="D37" s="302"/>
      <c r="E37" s="68" t="s">
        <v>1</v>
      </c>
      <c r="F37" s="74">
        <f>(2.96527+0.0026)*1.01-0.6</f>
        <v>2.3975486999999998</v>
      </c>
    </row>
    <row r="38" spans="1:6" s="70" customFormat="1" ht="15" customHeight="1" x14ac:dyDescent="0.25">
      <c r="A38" s="66"/>
      <c r="B38" s="71"/>
      <c r="C38" s="302" t="s">
        <v>23</v>
      </c>
      <c r="D38" s="302"/>
      <c r="E38" s="68" t="s">
        <v>1</v>
      </c>
      <c r="F38" s="74">
        <v>0.2276</v>
      </c>
    </row>
    <row r="39" spans="1:6" s="70" customFormat="1" ht="15" customHeight="1" x14ac:dyDescent="0.25">
      <c r="A39" s="66"/>
      <c r="B39" s="71"/>
      <c r="C39" s="302" t="s">
        <v>24</v>
      </c>
      <c r="D39" s="302"/>
      <c r="E39" s="68" t="s">
        <v>1</v>
      </c>
      <c r="F39" s="72">
        <f>0.90762*1.01-0.15</f>
        <v>0.76669619999999994</v>
      </c>
    </row>
    <row r="40" spans="1:6" s="70" customFormat="1" ht="15" customHeight="1" x14ac:dyDescent="0.25">
      <c r="A40" s="66"/>
      <c r="B40" s="71"/>
      <c r="C40" s="302" t="s">
        <v>35</v>
      </c>
      <c r="D40" s="302"/>
      <c r="E40" s="68" t="s">
        <v>1</v>
      </c>
      <c r="F40" s="74">
        <f>0.27182*1.01-0.03</f>
        <v>0.24453820000000001</v>
      </c>
    </row>
    <row r="41" spans="1:6" s="70" customFormat="1" ht="15" customHeight="1" x14ac:dyDescent="0.25">
      <c r="A41" s="66"/>
      <c r="B41" s="71"/>
      <c r="C41" s="302" t="s">
        <v>36</v>
      </c>
      <c r="D41" s="302"/>
      <c r="E41" s="68" t="s">
        <v>1</v>
      </c>
      <c r="F41" s="74">
        <v>0.27600000000000002</v>
      </c>
    </row>
    <row r="42" spans="1:6" s="70" customFormat="1" ht="15" customHeight="1" x14ac:dyDescent="0.25">
      <c r="A42" s="66"/>
      <c r="B42" s="71"/>
      <c r="C42" s="302" t="s">
        <v>37</v>
      </c>
      <c r="D42" s="302"/>
      <c r="E42" s="68" t="s">
        <v>1</v>
      </c>
      <c r="F42" s="74">
        <f>0.60148*1.01</f>
        <v>0.6074948</v>
      </c>
    </row>
    <row r="43" spans="1:6" s="70" customFormat="1" ht="15" customHeight="1" x14ac:dyDescent="0.25">
      <c r="A43" s="66"/>
      <c r="B43" s="71"/>
      <c r="C43" s="302" t="s">
        <v>38</v>
      </c>
      <c r="D43" s="302"/>
      <c r="E43" s="68" t="s">
        <v>1</v>
      </c>
      <c r="F43" s="74">
        <f>0.21761*1.01</f>
        <v>0.21978610000000001</v>
      </c>
    </row>
    <row r="44" spans="1:6" s="70" customFormat="1" ht="15" customHeight="1" x14ac:dyDescent="0.25">
      <c r="A44" s="66"/>
      <c r="B44" s="71"/>
      <c r="C44" s="302" t="s">
        <v>39</v>
      </c>
      <c r="D44" s="302"/>
      <c r="E44" s="68" t="s">
        <v>1</v>
      </c>
      <c r="F44" s="74">
        <f>0.14775*1.01</f>
        <v>0.14922749999999999</v>
      </c>
    </row>
    <row r="45" spans="1:6" s="70" customFormat="1" ht="15" customHeight="1" x14ac:dyDescent="0.25">
      <c r="A45" s="66"/>
      <c r="B45" s="71"/>
      <c r="C45" s="302" t="s">
        <v>33</v>
      </c>
      <c r="D45" s="302"/>
      <c r="E45" s="68" t="s">
        <v>1</v>
      </c>
      <c r="F45" s="74">
        <f>F32*1.55/1000</f>
        <v>0.13427649999999999</v>
      </c>
    </row>
    <row r="46" spans="1:6" s="70" customFormat="1" ht="15" customHeight="1" x14ac:dyDescent="0.25">
      <c r="A46" s="66"/>
      <c r="B46" s="69">
        <v>6</v>
      </c>
      <c r="C46" s="303" t="s">
        <v>40</v>
      </c>
      <c r="D46" s="303"/>
      <c r="E46" s="69" t="s">
        <v>15</v>
      </c>
      <c r="F46" s="89">
        <f>125.81+4.66-22.17</f>
        <v>108.3</v>
      </c>
    </row>
    <row r="47" spans="1:6" s="70" customFormat="1" ht="15" customHeight="1" x14ac:dyDescent="0.25">
      <c r="A47" s="66"/>
      <c r="B47" s="71"/>
      <c r="C47" s="301" t="s">
        <v>16</v>
      </c>
      <c r="D47" s="301"/>
      <c r="E47" s="68" t="s">
        <v>15</v>
      </c>
      <c r="F47" s="83">
        <f>(125.81-22.17)*1.015</f>
        <v>105.19459999999999</v>
      </c>
    </row>
    <row r="48" spans="1:6" ht="15" customHeight="1" x14ac:dyDescent="0.25">
      <c r="B48" s="76"/>
      <c r="C48" s="301" t="s">
        <v>17</v>
      </c>
      <c r="D48" s="301"/>
      <c r="E48" s="68" t="s">
        <v>15</v>
      </c>
      <c r="F48" s="77">
        <f>4.66*1.015</f>
        <v>4.7298999999999998</v>
      </c>
    </row>
    <row r="49" spans="2:6" ht="15" customHeight="1" x14ac:dyDescent="0.25">
      <c r="B49" s="78"/>
      <c r="C49" s="302" t="s">
        <v>20</v>
      </c>
      <c r="D49" s="302"/>
      <c r="E49" s="68" t="s">
        <v>1</v>
      </c>
      <c r="F49" s="77">
        <f>12.45339*1.01-2.69</f>
        <v>9.8879239000000005</v>
      </c>
    </row>
    <row r="50" spans="2:6" ht="15" customHeight="1" x14ac:dyDescent="0.25">
      <c r="B50" s="78"/>
      <c r="C50" s="302" t="s">
        <v>21</v>
      </c>
      <c r="D50" s="302"/>
      <c r="E50" s="68" t="s">
        <v>1</v>
      </c>
      <c r="F50" s="79">
        <f>(9.82127+0.022)*1.01-1.54</f>
        <v>8.4017027000000013</v>
      </c>
    </row>
    <row r="51" spans="2:6" ht="15" customHeight="1" x14ac:dyDescent="0.25">
      <c r="B51" s="76"/>
      <c r="C51" s="302" t="s">
        <v>22</v>
      </c>
      <c r="D51" s="302"/>
      <c r="E51" s="68" t="s">
        <v>1</v>
      </c>
      <c r="F51" s="80">
        <f>2.49838*1.01-0.31</f>
        <v>2.2133638000000002</v>
      </c>
    </row>
    <row r="52" spans="2:6" ht="15" customHeight="1" x14ac:dyDescent="0.25">
      <c r="B52" s="78"/>
      <c r="C52" s="302" t="s">
        <v>23</v>
      </c>
      <c r="D52" s="302"/>
      <c r="E52" s="68" t="s">
        <v>1</v>
      </c>
      <c r="F52" s="80">
        <f>0.4148*1.01</f>
        <v>0.41894799999999999</v>
      </c>
    </row>
    <row r="53" spans="2:6" ht="15" customHeight="1" x14ac:dyDescent="0.25">
      <c r="B53" s="78"/>
      <c r="C53" s="302" t="s">
        <v>41</v>
      </c>
      <c r="D53" s="302"/>
      <c r="E53" s="68" t="s">
        <v>1</v>
      </c>
      <c r="F53" s="80">
        <f>0.07757*1.01-0.01</f>
        <v>6.8345700000000009E-2</v>
      </c>
    </row>
    <row r="54" spans="2:6" ht="15" customHeight="1" x14ac:dyDescent="0.25">
      <c r="B54" s="78"/>
      <c r="C54" s="302" t="s">
        <v>24</v>
      </c>
      <c r="D54" s="302"/>
      <c r="E54" s="68" t="s">
        <v>1</v>
      </c>
      <c r="F54" s="80">
        <f>1.31852*1.01-0.18</f>
        <v>1.1517052000000001</v>
      </c>
    </row>
    <row r="55" spans="2:6" ht="15" customHeight="1" x14ac:dyDescent="0.25">
      <c r="B55" s="78"/>
      <c r="C55" s="302" t="s">
        <v>35</v>
      </c>
      <c r="D55" s="302"/>
      <c r="E55" s="68" t="s">
        <v>1</v>
      </c>
      <c r="F55" s="80">
        <f>0.05726*1.01</f>
        <v>5.7832599999999998E-2</v>
      </c>
    </row>
    <row r="56" spans="2:6" ht="15" customHeight="1" x14ac:dyDescent="0.25">
      <c r="B56" s="78"/>
      <c r="C56" s="302" t="s">
        <v>33</v>
      </c>
      <c r="D56" s="302"/>
      <c r="E56" s="68" t="s">
        <v>1</v>
      </c>
      <c r="F56" s="74">
        <f>F47*1.55/1000</f>
        <v>0.16305162999999998</v>
      </c>
    </row>
  </sheetData>
  <mergeCells count="58">
    <mergeCell ref="C10:D10"/>
    <mergeCell ref="B1:F1"/>
    <mergeCell ref="B2:F2"/>
    <mergeCell ref="B3:B4"/>
    <mergeCell ref="C3:D4"/>
    <mergeCell ref="E3:E4"/>
    <mergeCell ref="F3:F4"/>
    <mergeCell ref="C5:D5"/>
    <mergeCell ref="C6:D6"/>
    <mergeCell ref="C7:D7"/>
    <mergeCell ref="C8:D8"/>
    <mergeCell ref="C9:D9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B1:E219"/>
  <sheetViews>
    <sheetView zoomScale="85" zoomScaleNormal="85" workbookViewId="0">
      <pane ySplit="4" topLeftCell="A5" activePane="bottomLeft" state="frozen"/>
      <selection pane="bottomLeft" activeCell="H17" sqref="H17"/>
    </sheetView>
  </sheetViews>
  <sheetFormatPr defaultRowHeight="15" x14ac:dyDescent="0.25"/>
  <cols>
    <col min="1" max="1" width="2.85546875" style="91" customWidth="1"/>
    <col min="2" max="2" width="5.28515625" style="91" customWidth="1"/>
    <col min="3" max="3" width="37" style="120" customWidth="1"/>
    <col min="4" max="4" width="8.85546875" style="120" customWidth="1"/>
    <col min="5" max="5" width="9.85546875" style="120" bestFit="1" customWidth="1"/>
    <col min="6" max="248" width="9.140625" style="91"/>
    <col min="249" max="249" width="2.85546875" style="91" customWidth="1"/>
    <col min="250" max="250" width="33.28515625" style="91" customWidth="1"/>
    <col min="251" max="251" width="8.85546875" style="91" customWidth="1"/>
    <col min="252" max="504" width="9.140625" style="91"/>
    <col min="505" max="505" width="2.85546875" style="91" customWidth="1"/>
    <col min="506" max="506" width="33.28515625" style="91" customWidth="1"/>
    <col min="507" max="507" width="8.85546875" style="91" customWidth="1"/>
    <col min="508" max="760" width="9.140625" style="91"/>
    <col min="761" max="761" width="2.85546875" style="91" customWidth="1"/>
    <col min="762" max="762" width="33.28515625" style="91" customWidth="1"/>
    <col min="763" max="763" width="8.85546875" style="91" customWidth="1"/>
    <col min="764" max="1016" width="9.140625" style="91"/>
    <col min="1017" max="1017" width="2.85546875" style="91" customWidth="1"/>
    <col min="1018" max="1018" width="33.28515625" style="91" customWidth="1"/>
    <col min="1019" max="1019" width="8.85546875" style="91" customWidth="1"/>
    <col min="1020" max="1272" width="9.140625" style="91"/>
    <col min="1273" max="1273" width="2.85546875" style="91" customWidth="1"/>
    <col min="1274" max="1274" width="33.28515625" style="91" customWidth="1"/>
    <col min="1275" max="1275" width="8.85546875" style="91" customWidth="1"/>
    <col min="1276" max="1528" width="9.140625" style="91"/>
    <col min="1529" max="1529" width="2.85546875" style="91" customWidth="1"/>
    <col min="1530" max="1530" width="33.28515625" style="91" customWidth="1"/>
    <col min="1531" max="1531" width="8.85546875" style="91" customWidth="1"/>
    <col min="1532" max="1784" width="9.140625" style="91"/>
    <col min="1785" max="1785" width="2.85546875" style="91" customWidth="1"/>
    <col min="1786" max="1786" width="33.28515625" style="91" customWidth="1"/>
    <col min="1787" max="1787" width="8.85546875" style="91" customWidth="1"/>
    <col min="1788" max="2040" width="9.140625" style="91"/>
    <col min="2041" max="2041" width="2.85546875" style="91" customWidth="1"/>
    <col min="2042" max="2042" width="33.28515625" style="91" customWidth="1"/>
    <col min="2043" max="2043" width="8.85546875" style="91" customWidth="1"/>
    <col min="2044" max="2296" width="9.140625" style="91"/>
    <col min="2297" max="2297" width="2.85546875" style="91" customWidth="1"/>
    <col min="2298" max="2298" width="33.28515625" style="91" customWidth="1"/>
    <col min="2299" max="2299" width="8.85546875" style="91" customWidth="1"/>
    <col min="2300" max="2552" width="9.140625" style="91"/>
    <col min="2553" max="2553" width="2.85546875" style="91" customWidth="1"/>
    <col min="2554" max="2554" width="33.28515625" style="91" customWidth="1"/>
    <col min="2555" max="2555" width="8.85546875" style="91" customWidth="1"/>
    <col min="2556" max="2808" width="9.140625" style="91"/>
    <col min="2809" max="2809" width="2.85546875" style="91" customWidth="1"/>
    <col min="2810" max="2810" width="33.28515625" style="91" customWidth="1"/>
    <col min="2811" max="2811" width="8.85546875" style="91" customWidth="1"/>
    <col min="2812" max="3064" width="9.140625" style="91"/>
    <col min="3065" max="3065" width="2.85546875" style="91" customWidth="1"/>
    <col min="3066" max="3066" width="33.28515625" style="91" customWidth="1"/>
    <col min="3067" max="3067" width="8.85546875" style="91" customWidth="1"/>
    <col min="3068" max="3320" width="9.140625" style="91"/>
    <col min="3321" max="3321" width="2.85546875" style="91" customWidth="1"/>
    <col min="3322" max="3322" width="33.28515625" style="91" customWidth="1"/>
    <col min="3323" max="3323" width="8.85546875" style="91" customWidth="1"/>
    <col min="3324" max="3576" width="9.140625" style="91"/>
    <col min="3577" max="3577" width="2.85546875" style="91" customWidth="1"/>
    <col min="3578" max="3578" width="33.28515625" style="91" customWidth="1"/>
    <col min="3579" max="3579" width="8.85546875" style="91" customWidth="1"/>
    <col min="3580" max="3832" width="9.140625" style="91"/>
    <col min="3833" max="3833" width="2.85546875" style="91" customWidth="1"/>
    <col min="3834" max="3834" width="33.28515625" style="91" customWidth="1"/>
    <col min="3835" max="3835" width="8.85546875" style="91" customWidth="1"/>
    <col min="3836" max="4088" width="9.140625" style="91"/>
    <col min="4089" max="4089" width="2.85546875" style="91" customWidth="1"/>
    <col min="4090" max="4090" width="33.28515625" style="91" customWidth="1"/>
    <col min="4091" max="4091" width="8.85546875" style="91" customWidth="1"/>
    <col min="4092" max="4344" width="9.140625" style="91"/>
    <col min="4345" max="4345" width="2.85546875" style="91" customWidth="1"/>
    <col min="4346" max="4346" width="33.28515625" style="91" customWidth="1"/>
    <col min="4347" max="4347" width="8.85546875" style="91" customWidth="1"/>
    <col min="4348" max="4600" width="9.140625" style="91"/>
    <col min="4601" max="4601" width="2.85546875" style="91" customWidth="1"/>
    <col min="4602" max="4602" width="33.28515625" style="91" customWidth="1"/>
    <col min="4603" max="4603" width="8.85546875" style="91" customWidth="1"/>
    <col min="4604" max="4856" width="9.140625" style="91"/>
    <col min="4857" max="4857" width="2.85546875" style="91" customWidth="1"/>
    <col min="4858" max="4858" width="33.28515625" style="91" customWidth="1"/>
    <col min="4859" max="4859" width="8.85546875" style="91" customWidth="1"/>
    <col min="4860" max="5112" width="9.140625" style="91"/>
    <col min="5113" max="5113" width="2.85546875" style="91" customWidth="1"/>
    <col min="5114" max="5114" width="33.28515625" style="91" customWidth="1"/>
    <col min="5115" max="5115" width="8.85546875" style="91" customWidth="1"/>
    <col min="5116" max="5368" width="9.140625" style="91"/>
    <col min="5369" max="5369" width="2.85546875" style="91" customWidth="1"/>
    <col min="5370" max="5370" width="33.28515625" style="91" customWidth="1"/>
    <col min="5371" max="5371" width="8.85546875" style="91" customWidth="1"/>
    <col min="5372" max="5624" width="9.140625" style="91"/>
    <col min="5625" max="5625" width="2.85546875" style="91" customWidth="1"/>
    <col min="5626" max="5626" width="33.28515625" style="91" customWidth="1"/>
    <col min="5627" max="5627" width="8.85546875" style="91" customWidth="1"/>
    <col min="5628" max="5880" width="9.140625" style="91"/>
    <col min="5881" max="5881" width="2.85546875" style="91" customWidth="1"/>
    <col min="5882" max="5882" width="33.28515625" style="91" customWidth="1"/>
    <col min="5883" max="5883" width="8.85546875" style="91" customWidth="1"/>
    <col min="5884" max="6136" width="9.140625" style="91"/>
    <col min="6137" max="6137" width="2.85546875" style="91" customWidth="1"/>
    <col min="6138" max="6138" width="33.28515625" style="91" customWidth="1"/>
    <col min="6139" max="6139" width="8.85546875" style="91" customWidth="1"/>
    <col min="6140" max="6392" width="9.140625" style="91"/>
    <col min="6393" max="6393" width="2.85546875" style="91" customWidth="1"/>
    <col min="6394" max="6394" width="33.28515625" style="91" customWidth="1"/>
    <col min="6395" max="6395" width="8.85546875" style="91" customWidth="1"/>
    <col min="6396" max="6648" width="9.140625" style="91"/>
    <col min="6649" max="6649" width="2.85546875" style="91" customWidth="1"/>
    <col min="6650" max="6650" width="33.28515625" style="91" customWidth="1"/>
    <col min="6651" max="6651" width="8.85546875" style="91" customWidth="1"/>
    <col min="6652" max="6904" width="9.140625" style="91"/>
    <col min="6905" max="6905" width="2.85546875" style="91" customWidth="1"/>
    <col min="6906" max="6906" width="33.28515625" style="91" customWidth="1"/>
    <col min="6907" max="6907" width="8.85546875" style="91" customWidth="1"/>
    <col min="6908" max="7160" width="9.140625" style="91"/>
    <col min="7161" max="7161" width="2.85546875" style="91" customWidth="1"/>
    <col min="7162" max="7162" width="33.28515625" style="91" customWidth="1"/>
    <col min="7163" max="7163" width="8.85546875" style="91" customWidth="1"/>
    <col min="7164" max="7416" width="9.140625" style="91"/>
    <col min="7417" max="7417" width="2.85546875" style="91" customWidth="1"/>
    <col min="7418" max="7418" width="33.28515625" style="91" customWidth="1"/>
    <col min="7419" max="7419" width="8.85546875" style="91" customWidth="1"/>
    <col min="7420" max="7672" width="9.140625" style="91"/>
    <col min="7673" max="7673" width="2.85546875" style="91" customWidth="1"/>
    <col min="7674" max="7674" width="33.28515625" style="91" customWidth="1"/>
    <col min="7675" max="7675" width="8.85546875" style="91" customWidth="1"/>
    <col min="7676" max="7928" width="9.140625" style="91"/>
    <col min="7929" max="7929" width="2.85546875" style="91" customWidth="1"/>
    <col min="7930" max="7930" width="33.28515625" style="91" customWidth="1"/>
    <col min="7931" max="7931" width="8.85546875" style="91" customWidth="1"/>
    <col min="7932" max="8184" width="9.140625" style="91"/>
    <col min="8185" max="8185" width="2.85546875" style="91" customWidth="1"/>
    <col min="8186" max="8186" width="33.28515625" style="91" customWidth="1"/>
    <col min="8187" max="8187" width="8.85546875" style="91" customWidth="1"/>
    <col min="8188" max="8440" width="9.140625" style="91"/>
    <col min="8441" max="8441" width="2.85546875" style="91" customWidth="1"/>
    <col min="8442" max="8442" width="33.28515625" style="91" customWidth="1"/>
    <col min="8443" max="8443" width="8.85546875" style="91" customWidth="1"/>
    <col min="8444" max="8696" width="9.140625" style="91"/>
    <col min="8697" max="8697" width="2.85546875" style="91" customWidth="1"/>
    <col min="8698" max="8698" width="33.28515625" style="91" customWidth="1"/>
    <col min="8699" max="8699" width="8.85546875" style="91" customWidth="1"/>
    <col min="8700" max="8952" width="9.140625" style="91"/>
    <col min="8953" max="8953" width="2.85546875" style="91" customWidth="1"/>
    <col min="8954" max="8954" width="33.28515625" style="91" customWidth="1"/>
    <col min="8955" max="8955" width="8.85546875" style="91" customWidth="1"/>
    <col min="8956" max="9208" width="9.140625" style="91"/>
    <col min="9209" max="9209" width="2.85546875" style="91" customWidth="1"/>
    <col min="9210" max="9210" width="33.28515625" style="91" customWidth="1"/>
    <col min="9211" max="9211" width="8.85546875" style="91" customWidth="1"/>
    <col min="9212" max="9464" width="9.140625" style="91"/>
    <col min="9465" max="9465" width="2.85546875" style="91" customWidth="1"/>
    <col min="9466" max="9466" width="33.28515625" style="91" customWidth="1"/>
    <col min="9467" max="9467" width="8.85546875" style="91" customWidth="1"/>
    <col min="9468" max="9720" width="9.140625" style="91"/>
    <col min="9721" max="9721" width="2.85546875" style="91" customWidth="1"/>
    <col min="9722" max="9722" width="33.28515625" style="91" customWidth="1"/>
    <col min="9723" max="9723" width="8.85546875" style="91" customWidth="1"/>
    <col min="9724" max="9976" width="9.140625" style="91"/>
    <col min="9977" max="9977" width="2.85546875" style="91" customWidth="1"/>
    <col min="9978" max="9978" width="33.28515625" style="91" customWidth="1"/>
    <col min="9979" max="9979" width="8.85546875" style="91" customWidth="1"/>
    <col min="9980" max="10232" width="9.140625" style="91"/>
    <col min="10233" max="10233" width="2.85546875" style="91" customWidth="1"/>
    <col min="10234" max="10234" width="33.28515625" style="91" customWidth="1"/>
    <col min="10235" max="10235" width="8.85546875" style="91" customWidth="1"/>
    <col min="10236" max="10488" width="9.140625" style="91"/>
    <col min="10489" max="10489" width="2.85546875" style="91" customWidth="1"/>
    <col min="10490" max="10490" width="33.28515625" style="91" customWidth="1"/>
    <col min="10491" max="10491" width="8.85546875" style="91" customWidth="1"/>
    <col min="10492" max="10744" width="9.140625" style="91"/>
    <col min="10745" max="10745" width="2.85546875" style="91" customWidth="1"/>
    <col min="10746" max="10746" width="33.28515625" style="91" customWidth="1"/>
    <col min="10747" max="10747" width="8.85546875" style="91" customWidth="1"/>
    <col min="10748" max="11000" width="9.140625" style="91"/>
    <col min="11001" max="11001" width="2.85546875" style="91" customWidth="1"/>
    <col min="11002" max="11002" width="33.28515625" style="91" customWidth="1"/>
    <col min="11003" max="11003" width="8.85546875" style="91" customWidth="1"/>
    <col min="11004" max="11256" width="9.140625" style="91"/>
    <col min="11257" max="11257" width="2.85546875" style="91" customWidth="1"/>
    <col min="11258" max="11258" width="33.28515625" style="91" customWidth="1"/>
    <col min="11259" max="11259" width="8.85546875" style="91" customWidth="1"/>
    <col min="11260" max="11512" width="9.140625" style="91"/>
    <col min="11513" max="11513" width="2.85546875" style="91" customWidth="1"/>
    <col min="11514" max="11514" width="33.28515625" style="91" customWidth="1"/>
    <col min="11515" max="11515" width="8.85546875" style="91" customWidth="1"/>
    <col min="11516" max="11768" width="9.140625" style="91"/>
    <col min="11769" max="11769" width="2.85546875" style="91" customWidth="1"/>
    <col min="11770" max="11770" width="33.28515625" style="91" customWidth="1"/>
    <col min="11771" max="11771" width="8.85546875" style="91" customWidth="1"/>
    <col min="11772" max="12024" width="9.140625" style="91"/>
    <col min="12025" max="12025" width="2.85546875" style="91" customWidth="1"/>
    <col min="12026" max="12026" width="33.28515625" style="91" customWidth="1"/>
    <col min="12027" max="12027" width="8.85546875" style="91" customWidth="1"/>
    <col min="12028" max="12280" width="9.140625" style="91"/>
    <col min="12281" max="12281" width="2.85546875" style="91" customWidth="1"/>
    <col min="12282" max="12282" width="33.28515625" style="91" customWidth="1"/>
    <col min="12283" max="12283" width="8.85546875" style="91" customWidth="1"/>
    <col min="12284" max="12536" width="9.140625" style="91"/>
    <col min="12537" max="12537" width="2.85546875" style="91" customWidth="1"/>
    <col min="12538" max="12538" width="33.28515625" style="91" customWidth="1"/>
    <col min="12539" max="12539" width="8.85546875" style="91" customWidth="1"/>
    <col min="12540" max="12792" width="9.140625" style="91"/>
    <col min="12793" max="12793" width="2.85546875" style="91" customWidth="1"/>
    <col min="12794" max="12794" width="33.28515625" style="91" customWidth="1"/>
    <col min="12795" max="12795" width="8.85546875" style="91" customWidth="1"/>
    <col min="12796" max="13048" width="9.140625" style="91"/>
    <col min="13049" max="13049" width="2.85546875" style="91" customWidth="1"/>
    <col min="13050" max="13050" width="33.28515625" style="91" customWidth="1"/>
    <col min="13051" max="13051" width="8.85546875" style="91" customWidth="1"/>
    <col min="13052" max="13304" width="9.140625" style="91"/>
    <col min="13305" max="13305" width="2.85546875" style="91" customWidth="1"/>
    <col min="13306" max="13306" width="33.28515625" style="91" customWidth="1"/>
    <col min="13307" max="13307" width="8.85546875" style="91" customWidth="1"/>
    <col min="13308" max="13560" width="9.140625" style="91"/>
    <col min="13561" max="13561" width="2.85546875" style="91" customWidth="1"/>
    <col min="13562" max="13562" width="33.28515625" style="91" customWidth="1"/>
    <col min="13563" max="13563" width="8.85546875" style="91" customWidth="1"/>
    <col min="13564" max="13816" width="9.140625" style="91"/>
    <col min="13817" max="13817" width="2.85546875" style="91" customWidth="1"/>
    <col min="13818" max="13818" width="33.28515625" style="91" customWidth="1"/>
    <col min="13819" max="13819" width="8.85546875" style="91" customWidth="1"/>
    <col min="13820" max="14072" width="9.140625" style="91"/>
    <col min="14073" max="14073" width="2.85546875" style="91" customWidth="1"/>
    <col min="14074" max="14074" width="33.28515625" style="91" customWidth="1"/>
    <col min="14075" max="14075" width="8.85546875" style="91" customWidth="1"/>
    <col min="14076" max="14328" width="9.140625" style="91"/>
    <col min="14329" max="14329" width="2.85546875" style="91" customWidth="1"/>
    <col min="14330" max="14330" width="33.28515625" style="91" customWidth="1"/>
    <col min="14331" max="14331" width="8.85546875" style="91" customWidth="1"/>
    <col min="14332" max="14584" width="9.140625" style="91"/>
    <col min="14585" max="14585" width="2.85546875" style="91" customWidth="1"/>
    <col min="14586" max="14586" width="33.28515625" style="91" customWidth="1"/>
    <col min="14587" max="14587" width="8.85546875" style="91" customWidth="1"/>
    <col min="14588" max="14840" width="9.140625" style="91"/>
    <col min="14841" max="14841" width="2.85546875" style="91" customWidth="1"/>
    <col min="14842" max="14842" width="33.28515625" style="91" customWidth="1"/>
    <col min="14843" max="14843" width="8.85546875" style="91" customWidth="1"/>
    <col min="14844" max="15096" width="9.140625" style="91"/>
    <col min="15097" max="15097" width="2.85546875" style="91" customWidth="1"/>
    <col min="15098" max="15098" width="33.28515625" style="91" customWidth="1"/>
    <col min="15099" max="15099" width="8.85546875" style="91" customWidth="1"/>
    <col min="15100" max="15352" width="9.140625" style="91"/>
    <col min="15353" max="15353" width="2.85546875" style="91" customWidth="1"/>
    <col min="15354" max="15354" width="33.28515625" style="91" customWidth="1"/>
    <col min="15355" max="15355" width="8.85546875" style="91" customWidth="1"/>
    <col min="15356" max="15608" width="9.140625" style="91"/>
    <col min="15609" max="15609" width="2.85546875" style="91" customWidth="1"/>
    <col min="15610" max="15610" width="33.28515625" style="91" customWidth="1"/>
    <col min="15611" max="15611" width="8.85546875" style="91" customWidth="1"/>
    <col min="15612" max="15864" width="9.140625" style="91"/>
    <col min="15865" max="15865" width="2.85546875" style="91" customWidth="1"/>
    <col min="15866" max="15866" width="33.28515625" style="91" customWidth="1"/>
    <col min="15867" max="15867" width="8.85546875" style="91" customWidth="1"/>
    <col min="15868" max="16120" width="9.140625" style="91"/>
    <col min="16121" max="16121" width="2.85546875" style="91" customWidth="1"/>
    <col min="16122" max="16122" width="33.28515625" style="91" customWidth="1"/>
    <col min="16123" max="16123" width="8.85546875" style="91" customWidth="1"/>
    <col min="16124" max="16384" width="9.140625" style="91"/>
  </cols>
  <sheetData>
    <row r="1" spans="2:5" s="90" customFormat="1" ht="54" customHeight="1" x14ac:dyDescent="0.25">
      <c r="C1" s="308" t="s">
        <v>56</v>
      </c>
      <c r="D1" s="308"/>
      <c r="E1" s="308"/>
    </row>
    <row r="2" spans="2:5" s="90" customFormat="1" ht="26.25" customHeight="1" thickBot="1" x14ac:dyDescent="0.3">
      <c r="C2" s="311" t="s">
        <v>872</v>
      </c>
      <c r="D2" s="311"/>
      <c r="E2" s="311"/>
    </row>
    <row r="3" spans="2:5" ht="25.5" customHeight="1" x14ac:dyDescent="0.25">
      <c r="B3" s="309" t="s">
        <v>11</v>
      </c>
      <c r="C3" s="316" t="s">
        <v>12</v>
      </c>
      <c r="D3" s="312" t="s">
        <v>57</v>
      </c>
      <c r="E3" s="314" t="s">
        <v>58</v>
      </c>
    </row>
    <row r="4" spans="2:5" ht="18.75" customHeight="1" thickBot="1" x14ac:dyDescent="0.3">
      <c r="B4" s="310"/>
      <c r="C4" s="317"/>
      <c r="D4" s="313"/>
      <c r="E4" s="315"/>
    </row>
    <row r="5" spans="2:5" ht="15.75" x14ac:dyDescent="0.25">
      <c r="B5" s="67"/>
      <c r="C5" s="92" t="s">
        <v>165</v>
      </c>
      <c r="D5" s="93"/>
      <c r="E5" s="93"/>
    </row>
    <row r="6" spans="2:5" ht="28.5" customHeight="1" x14ac:dyDescent="0.25">
      <c r="B6" s="71">
        <v>1</v>
      </c>
      <c r="C6" s="110" t="s">
        <v>779</v>
      </c>
      <c r="D6" s="111" t="s">
        <v>0</v>
      </c>
      <c r="E6" s="111">
        <v>2.37</v>
      </c>
    </row>
    <row r="7" spans="2:5" ht="15.75" x14ac:dyDescent="0.25">
      <c r="B7" s="71"/>
      <c r="C7" s="94" t="s">
        <v>59</v>
      </c>
      <c r="D7" s="94" t="s">
        <v>0</v>
      </c>
      <c r="E7" s="94">
        <f>2.37*1.01</f>
        <v>2.3936999999999999</v>
      </c>
    </row>
    <row r="8" spans="2:5" ht="28.5" customHeight="1" x14ac:dyDescent="0.25">
      <c r="B8" s="71">
        <v>2</v>
      </c>
      <c r="C8" s="110" t="s">
        <v>780</v>
      </c>
      <c r="D8" s="111" t="s">
        <v>0</v>
      </c>
      <c r="E8" s="111">
        <f>0.61+0.95</f>
        <v>1.56</v>
      </c>
    </row>
    <row r="9" spans="2:5" ht="15.75" x14ac:dyDescent="0.25">
      <c r="B9" s="71"/>
      <c r="C9" s="94" t="s">
        <v>60</v>
      </c>
      <c r="D9" s="94" t="s">
        <v>0</v>
      </c>
      <c r="E9" s="94">
        <f>1.56*1.01</f>
        <v>1.5756000000000001</v>
      </c>
    </row>
    <row r="10" spans="2:5" ht="15.75" customHeight="1" x14ac:dyDescent="0.25">
      <c r="B10" s="71"/>
      <c r="C10" s="95" t="s">
        <v>61</v>
      </c>
      <c r="D10" s="96" t="s">
        <v>6</v>
      </c>
      <c r="E10" s="94">
        <f>(E6+E8)*30</f>
        <v>117.9</v>
      </c>
    </row>
    <row r="11" spans="2:5" ht="15.75" customHeight="1" x14ac:dyDescent="0.25">
      <c r="B11" s="71">
        <v>3</v>
      </c>
      <c r="C11" s="97" t="s">
        <v>781</v>
      </c>
      <c r="D11" s="96"/>
      <c r="E11" s="94"/>
    </row>
    <row r="12" spans="2:5" ht="15.75" customHeight="1" x14ac:dyDescent="0.25">
      <c r="B12" s="71"/>
      <c r="C12" s="98" t="s">
        <v>35</v>
      </c>
      <c r="D12" s="94" t="s">
        <v>1</v>
      </c>
      <c r="E12" s="99">
        <f>(9.77+3.88+3.22)*1.01/1000</f>
        <v>1.7038699999999997E-2</v>
      </c>
    </row>
    <row r="13" spans="2:5" ht="15.75" customHeight="1" x14ac:dyDescent="0.25">
      <c r="B13" s="71"/>
      <c r="C13" s="95" t="s">
        <v>63</v>
      </c>
      <c r="D13" s="96" t="s">
        <v>8</v>
      </c>
      <c r="E13" s="94">
        <v>9</v>
      </c>
    </row>
    <row r="14" spans="2:5" ht="15.75" customHeight="1" x14ac:dyDescent="0.25">
      <c r="B14" s="71"/>
      <c r="C14" s="95" t="s">
        <v>64</v>
      </c>
      <c r="D14" s="96" t="s">
        <v>8</v>
      </c>
      <c r="E14" s="94">
        <v>5</v>
      </c>
    </row>
    <row r="15" spans="2:5" ht="31.5" x14ac:dyDescent="0.25">
      <c r="B15" s="71">
        <v>4</v>
      </c>
      <c r="C15" s="110" t="s">
        <v>782</v>
      </c>
      <c r="D15" s="111" t="s">
        <v>0</v>
      </c>
      <c r="E15" s="111">
        <v>1.1200000000000001</v>
      </c>
    </row>
    <row r="16" spans="2:5" ht="20.25" customHeight="1" x14ac:dyDescent="0.25">
      <c r="B16" s="71"/>
      <c r="C16" s="100" t="s">
        <v>783</v>
      </c>
      <c r="D16" s="94" t="s">
        <v>0</v>
      </c>
      <c r="E16" s="94">
        <f>1.12*1.015</f>
        <v>1.1368</v>
      </c>
    </row>
    <row r="17" spans="2:5" ht="15.75" customHeight="1" x14ac:dyDescent="0.25">
      <c r="B17" s="71"/>
      <c r="C17" s="95" t="s">
        <v>23</v>
      </c>
      <c r="D17" s="96" t="s">
        <v>1</v>
      </c>
      <c r="E17" s="101">
        <f>(9.64+1.6)*1.01/1000</f>
        <v>1.13524E-2</v>
      </c>
    </row>
    <row r="18" spans="2:5" ht="15.75" customHeight="1" x14ac:dyDescent="0.25">
      <c r="B18" s="71"/>
      <c r="C18" s="95" t="s">
        <v>35</v>
      </c>
      <c r="D18" s="96" t="s">
        <v>1</v>
      </c>
      <c r="E18" s="101">
        <f>4.65*1.01/1000</f>
        <v>4.6965000000000002E-3</v>
      </c>
    </row>
    <row r="19" spans="2:5" ht="34.5" customHeight="1" x14ac:dyDescent="0.25">
      <c r="B19" s="71">
        <v>3</v>
      </c>
      <c r="C19" s="110" t="s">
        <v>784</v>
      </c>
      <c r="D19" s="111" t="s">
        <v>1</v>
      </c>
      <c r="E19" s="111">
        <f>0.362+0.026</f>
        <v>0.38800000000000001</v>
      </c>
    </row>
    <row r="20" spans="2:5" ht="15.75" customHeight="1" x14ac:dyDescent="0.25">
      <c r="B20" s="71"/>
      <c r="C20" s="94" t="s">
        <v>65</v>
      </c>
      <c r="D20" s="96" t="s">
        <v>1</v>
      </c>
      <c r="E20" s="101">
        <f>(26.24*2+2.44*2+26.24+2.44+26.24+2.44+236.16+11.16)*1.03/1000</f>
        <v>0.37290120000000004</v>
      </c>
    </row>
    <row r="21" spans="2:5" ht="15.75" customHeight="1" x14ac:dyDescent="0.25">
      <c r="B21" s="71"/>
      <c r="C21" s="94" t="s">
        <v>66</v>
      </c>
      <c r="D21" s="96" t="s">
        <v>1</v>
      </c>
      <c r="E21" s="101">
        <f>(3.04+3.04*2+3.04+13.68)*1.03/1000</f>
        <v>2.6615200000000002E-2</v>
      </c>
    </row>
    <row r="22" spans="2:5" s="102" customFormat="1" ht="15.75" x14ac:dyDescent="0.25">
      <c r="B22" s="71"/>
      <c r="C22" s="94" t="s">
        <v>156</v>
      </c>
      <c r="D22" s="96" t="s">
        <v>6</v>
      </c>
      <c r="E22" s="101">
        <f>E19*2.5%*1000</f>
        <v>9.7000000000000011</v>
      </c>
    </row>
    <row r="23" spans="2:5" ht="15.75" customHeight="1" x14ac:dyDescent="0.25">
      <c r="B23" s="71"/>
      <c r="C23" s="94" t="s">
        <v>67</v>
      </c>
      <c r="D23" s="96" t="s">
        <v>51</v>
      </c>
      <c r="E23" s="96">
        <f>8+8*2+8+72</f>
        <v>104</v>
      </c>
    </row>
    <row r="24" spans="2:5" ht="31.5" x14ac:dyDescent="0.25">
      <c r="B24" s="71"/>
      <c r="C24" s="110" t="s">
        <v>166</v>
      </c>
      <c r="D24" s="94"/>
      <c r="E24" s="94"/>
    </row>
    <row r="25" spans="2:5" ht="47.25" x14ac:dyDescent="0.25">
      <c r="B25" s="71">
        <v>4</v>
      </c>
      <c r="C25" s="110" t="s">
        <v>785</v>
      </c>
      <c r="D25" s="111" t="s">
        <v>0</v>
      </c>
      <c r="E25" s="111">
        <v>8.0500000000000007</v>
      </c>
    </row>
    <row r="26" spans="2:5" ht="31.5" x14ac:dyDescent="0.25">
      <c r="B26" s="71"/>
      <c r="C26" s="100" t="s">
        <v>68</v>
      </c>
      <c r="D26" s="94" t="s">
        <v>0</v>
      </c>
      <c r="E26" s="103">
        <v>8.0500000000000007</v>
      </c>
    </row>
    <row r="27" spans="2:5" ht="15.75" x14ac:dyDescent="0.25">
      <c r="B27" s="71"/>
      <c r="C27" s="95" t="s">
        <v>69</v>
      </c>
      <c r="D27" s="96" t="s">
        <v>0</v>
      </c>
      <c r="E27" s="104">
        <f>E26*0.24</f>
        <v>1.9320000000000002</v>
      </c>
    </row>
    <row r="28" spans="2:5" ht="15.75" x14ac:dyDescent="0.25">
      <c r="B28" s="71"/>
      <c r="C28" s="95" t="s">
        <v>22</v>
      </c>
      <c r="D28" s="96" t="s">
        <v>1</v>
      </c>
      <c r="E28" s="101">
        <f>16.6*1.01/1000</f>
        <v>1.6766000000000003E-2</v>
      </c>
    </row>
    <row r="29" spans="2:5" ht="15.75" x14ac:dyDescent="0.25">
      <c r="B29" s="71"/>
      <c r="C29" s="95" t="s">
        <v>70</v>
      </c>
      <c r="D29" s="96" t="s">
        <v>1</v>
      </c>
      <c r="E29" s="101">
        <f>8.58*1.01/1000</f>
        <v>8.6658000000000013E-3</v>
      </c>
    </row>
    <row r="30" spans="2:5" ht="31.5" x14ac:dyDescent="0.25">
      <c r="B30" s="71"/>
      <c r="C30" s="105" t="s">
        <v>167</v>
      </c>
      <c r="D30" s="96" t="s">
        <v>8</v>
      </c>
      <c r="E30" s="104">
        <v>23</v>
      </c>
    </row>
    <row r="31" spans="2:5" ht="31.5" x14ac:dyDescent="0.25">
      <c r="B31" s="71">
        <v>5</v>
      </c>
      <c r="C31" s="110" t="s">
        <v>786</v>
      </c>
      <c r="D31" s="111" t="s">
        <v>1</v>
      </c>
      <c r="E31" s="111">
        <f>0.038+0.069+0.005</f>
        <v>0.11200000000000002</v>
      </c>
    </row>
    <row r="32" spans="2:5" ht="15.75" x14ac:dyDescent="0.25">
      <c r="B32" s="71"/>
      <c r="C32" s="94" t="s">
        <v>71</v>
      </c>
      <c r="D32" s="96" t="s">
        <v>1</v>
      </c>
      <c r="E32" s="101">
        <f>(15.02+13.2+10)*1.03/1000</f>
        <v>3.9366600000000002E-2</v>
      </c>
    </row>
    <row r="33" spans="2:5" ht="15.75" x14ac:dyDescent="0.25">
      <c r="B33" s="71"/>
      <c r="C33" s="94" t="s">
        <v>65</v>
      </c>
      <c r="D33" s="96" t="s">
        <v>1</v>
      </c>
      <c r="E33" s="101">
        <f>(30.44+1.2+1.24+18.2+1.24+15.22+0.6+0.62+0.62)*1.03/1000</f>
        <v>7.1461400000000008E-2</v>
      </c>
    </row>
    <row r="34" spans="2:5" ht="15.75" x14ac:dyDescent="0.25">
      <c r="B34" s="71"/>
      <c r="C34" s="94" t="s">
        <v>72</v>
      </c>
      <c r="D34" s="96" t="s">
        <v>1</v>
      </c>
      <c r="E34" s="96">
        <f>(2.07+1.38+1.15)*1.03/1000</f>
        <v>4.7379999999999992E-3</v>
      </c>
    </row>
    <row r="35" spans="2:5" s="102" customFormat="1" ht="15.75" x14ac:dyDescent="0.25">
      <c r="B35" s="71"/>
      <c r="C35" s="94" t="s">
        <v>156</v>
      </c>
      <c r="D35" s="96" t="s">
        <v>6</v>
      </c>
      <c r="E35" s="106">
        <f>E31*2.5%*1000</f>
        <v>2.8000000000000003</v>
      </c>
    </row>
    <row r="36" spans="2:5" ht="15.75" x14ac:dyDescent="0.25">
      <c r="B36" s="71"/>
      <c r="C36" s="94" t="s">
        <v>67</v>
      </c>
      <c r="D36" s="96" t="s">
        <v>51</v>
      </c>
      <c r="E36" s="96">
        <f>4+4+2</f>
        <v>10</v>
      </c>
    </row>
    <row r="37" spans="2:5" ht="15.75" x14ac:dyDescent="0.25">
      <c r="B37" s="71"/>
      <c r="C37" s="94" t="s">
        <v>73</v>
      </c>
      <c r="D37" s="96" t="s">
        <v>51</v>
      </c>
      <c r="E37" s="96">
        <v>2</v>
      </c>
    </row>
    <row r="38" spans="2:5" ht="15.75" x14ac:dyDescent="0.25">
      <c r="B38" s="71"/>
      <c r="C38" s="94" t="s">
        <v>74</v>
      </c>
      <c r="D38" s="96" t="s">
        <v>1</v>
      </c>
      <c r="E38" s="101">
        <f>0.03029*1.1</f>
        <v>3.3319000000000001E-2</v>
      </c>
    </row>
    <row r="39" spans="2:5" ht="15.75" x14ac:dyDescent="0.25">
      <c r="B39" s="71"/>
      <c r="C39" s="121" t="s">
        <v>75</v>
      </c>
      <c r="D39" s="94"/>
      <c r="E39" s="94"/>
    </row>
    <row r="40" spans="2:5" ht="31.5" x14ac:dyDescent="0.25">
      <c r="B40" s="71">
        <v>6</v>
      </c>
      <c r="C40" s="110" t="s">
        <v>779</v>
      </c>
      <c r="D40" s="111" t="s">
        <v>0</v>
      </c>
      <c r="E40" s="111">
        <f>1.55+8.61</f>
        <v>10.16</v>
      </c>
    </row>
    <row r="41" spans="2:5" ht="15.75" x14ac:dyDescent="0.25">
      <c r="B41" s="71"/>
      <c r="C41" s="94" t="s">
        <v>76</v>
      </c>
      <c r="D41" s="96" t="s">
        <v>0</v>
      </c>
      <c r="E41" s="96">
        <f>1.55*1.01</f>
        <v>1.5655000000000001</v>
      </c>
    </row>
    <row r="42" spans="2:5" ht="31.5" x14ac:dyDescent="0.25">
      <c r="B42" s="71"/>
      <c r="C42" s="107" t="s">
        <v>77</v>
      </c>
      <c r="D42" s="96" t="s">
        <v>0</v>
      </c>
      <c r="E42" s="99">
        <f>(1.69+6.92)*1.01</f>
        <v>8.6960999999999995</v>
      </c>
    </row>
    <row r="43" spans="2:5" ht="15.75" x14ac:dyDescent="0.25">
      <c r="B43" s="71"/>
      <c r="C43" s="95" t="s">
        <v>61</v>
      </c>
      <c r="D43" s="96" t="s">
        <v>6</v>
      </c>
      <c r="E43" s="108">
        <f>E40*30</f>
        <v>304.8</v>
      </c>
    </row>
    <row r="44" spans="2:5" ht="15.75" x14ac:dyDescent="0.25">
      <c r="B44" s="71">
        <v>7</v>
      </c>
      <c r="C44" s="97" t="s">
        <v>781</v>
      </c>
      <c r="D44" s="96"/>
      <c r="E44" s="99"/>
    </row>
    <row r="45" spans="2:5" ht="15.75" x14ac:dyDescent="0.25">
      <c r="B45" s="71"/>
      <c r="C45" s="98" t="s">
        <v>35</v>
      </c>
      <c r="D45" s="94" t="s">
        <v>1</v>
      </c>
      <c r="E45" s="101">
        <f>(12.14+1.43+2.24+4.66+4.99)*1.01/1000</f>
        <v>2.5714600000000001E-2</v>
      </c>
    </row>
    <row r="46" spans="2:5" ht="15.75" x14ac:dyDescent="0.25">
      <c r="B46" s="71"/>
      <c r="C46" s="95" t="s">
        <v>64</v>
      </c>
      <c r="D46" s="96" t="s">
        <v>8</v>
      </c>
      <c r="E46" s="96">
        <v>8</v>
      </c>
    </row>
    <row r="47" spans="2:5" ht="15.75" x14ac:dyDescent="0.25">
      <c r="B47" s="71"/>
      <c r="C47" s="95" t="s">
        <v>78</v>
      </c>
      <c r="D47" s="96" t="s">
        <v>8</v>
      </c>
      <c r="E47" s="96">
        <v>6</v>
      </c>
    </row>
    <row r="48" spans="2:5" ht="15.75" x14ac:dyDescent="0.25">
      <c r="B48" s="71"/>
      <c r="C48" s="95" t="s">
        <v>79</v>
      </c>
      <c r="D48" s="96" t="s">
        <v>8</v>
      </c>
      <c r="E48" s="104">
        <v>2</v>
      </c>
    </row>
    <row r="49" spans="2:5" ht="31.5" x14ac:dyDescent="0.25">
      <c r="B49" s="71">
        <v>8</v>
      </c>
      <c r="C49" s="110" t="s">
        <v>787</v>
      </c>
      <c r="D49" s="111" t="s">
        <v>1</v>
      </c>
      <c r="E49" s="111">
        <f>0.329+0.042</f>
        <v>0.371</v>
      </c>
    </row>
    <row r="50" spans="2:5" ht="15.75" x14ac:dyDescent="0.25">
      <c r="B50" s="71"/>
      <c r="C50" s="96" t="s">
        <v>65</v>
      </c>
      <c r="D50" s="96" t="s">
        <v>1</v>
      </c>
      <c r="E50" s="101">
        <f>(13.12+1.84+12.5+157.44+14.64+64.08+3.66+13.12+27.44+4.88+13.72+2.44)*1.03/1000</f>
        <v>0.33874640000000006</v>
      </c>
    </row>
    <row r="51" spans="2:5" ht="15.75" x14ac:dyDescent="0.25">
      <c r="B51" s="71"/>
      <c r="C51" s="96" t="s">
        <v>66</v>
      </c>
      <c r="D51" s="96" t="s">
        <v>1</v>
      </c>
      <c r="E51" s="101">
        <f>(2.24+2.24+25.08+3+6+3)*1.03/1000</f>
        <v>4.2806800000000006E-2</v>
      </c>
    </row>
    <row r="52" spans="2:5" s="102" customFormat="1" ht="15.75" x14ac:dyDescent="0.25">
      <c r="B52" s="71"/>
      <c r="C52" s="94" t="s">
        <v>156</v>
      </c>
      <c r="D52" s="96" t="s">
        <v>6</v>
      </c>
      <c r="E52" s="106">
        <f>E49*2.5%*1000</f>
        <v>9.2750000000000004</v>
      </c>
    </row>
    <row r="53" spans="2:5" ht="15.75" x14ac:dyDescent="0.25">
      <c r="B53" s="71"/>
      <c r="C53" s="96" t="s">
        <v>67</v>
      </c>
      <c r="D53" s="96" t="s">
        <v>8</v>
      </c>
      <c r="E53" s="104">
        <v>68</v>
      </c>
    </row>
    <row r="54" spans="2:5" ht="47.25" x14ac:dyDescent="0.25">
      <c r="B54" s="71"/>
      <c r="C54" s="110" t="s">
        <v>80</v>
      </c>
      <c r="D54" s="94"/>
      <c r="E54" s="94"/>
    </row>
    <row r="55" spans="2:5" ht="33.75" customHeight="1" x14ac:dyDescent="0.25">
      <c r="B55" s="71">
        <v>9</v>
      </c>
      <c r="C55" s="110" t="s">
        <v>779</v>
      </c>
      <c r="D55" s="111" t="s">
        <v>0</v>
      </c>
      <c r="E55" s="111">
        <v>36.08</v>
      </c>
    </row>
    <row r="56" spans="2:5" ht="15.75" x14ac:dyDescent="0.25">
      <c r="B56" s="71"/>
      <c r="C56" s="94" t="s">
        <v>77</v>
      </c>
      <c r="D56" s="96" t="s">
        <v>0</v>
      </c>
      <c r="E56" s="99">
        <f>(0.81+8.21)*4*1.01</f>
        <v>36.440800000000003</v>
      </c>
    </row>
    <row r="57" spans="2:5" ht="33.75" customHeight="1" x14ac:dyDescent="0.25">
      <c r="B57" s="71">
        <v>10</v>
      </c>
      <c r="C57" s="110" t="s">
        <v>780</v>
      </c>
      <c r="D57" s="111" t="s">
        <v>0</v>
      </c>
      <c r="E57" s="111">
        <v>4.92</v>
      </c>
    </row>
    <row r="58" spans="2:5" ht="15.75" x14ac:dyDescent="0.25">
      <c r="B58" s="71"/>
      <c r="C58" s="94" t="s">
        <v>60</v>
      </c>
      <c r="D58" s="96" t="s">
        <v>0</v>
      </c>
      <c r="E58" s="99">
        <f>1.23*4*1.01</f>
        <v>4.9691999999999998</v>
      </c>
    </row>
    <row r="59" spans="2:5" ht="15.75" x14ac:dyDescent="0.25">
      <c r="B59" s="71"/>
      <c r="C59" s="95" t="s">
        <v>61</v>
      </c>
      <c r="D59" s="96" t="s">
        <v>6</v>
      </c>
      <c r="E59" s="108">
        <f>(E55+E57)*30</f>
        <v>1230</v>
      </c>
    </row>
    <row r="60" spans="2:5" ht="15.75" x14ac:dyDescent="0.25">
      <c r="B60" s="71">
        <v>11</v>
      </c>
      <c r="C60" s="97" t="s">
        <v>781</v>
      </c>
      <c r="D60" s="96"/>
      <c r="E60" s="99"/>
    </row>
    <row r="61" spans="2:5" ht="15.75" x14ac:dyDescent="0.25">
      <c r="B61" s="71"/>
      <c r="C61" s="98" t="s">
        <v>35</v>
      </c>
      <c r="D61" s="94" t="s">
        <v>1</v>
      </c>
      <c r="E61" s="101">
        <f>(21.2+1.55+2.8+2.55)*4*1.01/1000</f>
        <v>0.113524</v>
      </c>
    </row>
    <row r="62" spans="2:5" ht="15.75" x14ac:dyDescent="0.25">
      <c r="B62" s="71"/>
      <c r="C62" s="95" t="s">
        <v>63</v>
      </c>
      <c r="D62" s="96" t="s">
        <v>8</v>
      </c>
      <c r="E62" s="104">
        <f>10*4</f>
        <v>40</v>
      </c>
    </row>
    <row r="63" spans="2:5" ht="15.75" x14ac:dyDescent="0.25">
      <c r="B63" s="71"/>
      <c r="C63" s="95" t="s">
        <v>64</v>
      </c>
      <c r="D63" s="96" t="s">
        <v>8</v>
      </c>
      <c r="E63" s="104">
        <f>4*4</f>
        <v>16</v>
      </c>
    </row>
    <row r="64" spans="2:5" ht="15.75" x14ac:dyDescent="0.25">
      <c r="B64" s="71"/>
      <c r="C64" s="95" t="s">
        <v>78</v>
      </c>
      <c r="D64" s="96" t="s">
        <v>8</v>
      </c>
      <c r="E64" s="104">
        <f>8*4</f>
        <v>32</v>
      </c>
    </row>
    <row r="65" spans="2:5" ht="15.75" x14ac:dyDescent="0.25">
      <c r="B65" s="71">
        <v>12</v>
      </c>
      <c r="C65" s="110" t="s">
        <v>788</v>
      </c>
      <c r="D65" s="111" t="s">
        <v>1</v>
      </c>
      <c r="E65" s="111">
        <f>4.682+0.307</f>
        <v>4.9890000000000008</v>
      </c>
    </row>
    <row r="66" spans="2:5" ht="15.75" x14ac:dyDescent="0.25">
      <c r="B66" s="71"/>
      <c r="C66" s="96" t="s">
        <v>65</v>
      </c>
      <c r="D66" s="96" t="s">
        <v>1</v>
      </c>
      <c r="E66" s="101">
        <f>(236.16*2+11.16*2+209.92*2+9.92*2+157.44+14.64+64.08)*1.03/1000*4</f>
        <v>4.8223775999999994</v>
      </c>
    </row>
    <row r="67" spans="2:5" ht="15.75" x14ac:dyDescent="0.25">
      <c r="B67" s="71"/>
      <c r="C67" s="96" t="s">
        <v>66</v>
      </c>
      <c r="D67" s="96" t="s">
        <v>1</v>
      </c>
      <c r="E67" s="101">
        <f>(13.68*2+12.16*2+25.08)*1.03/1000*4</f>
        <v>0.31625120000000001</v>
      </c>
    </row>
    <row r="68" spans="2:5" s="102" customFormat="1" ht="15.75" x14ac:dyDescent="0.25">
      <c r="B68" s="71"/>
      <c r="C68" s="94" t="s">
        <v>156</v>
      </c>
      <c r="D68" s="96" t="s">
        <v>6</v>
      </c>
      <c r="E68" s="106">
        <f>E65*2.5%*1000</f>
        <v>124.72500000000004</v>
      </c>
    </row>
    <row r="69" spans="2:5" ht="15.75" x14ac:dyDescent="0.25">
      <c r="B69" s="71"/>
      <c r="C69" s="96" t="s">
        <v>67</v>
      </c>
      <c r="D69" s="96" t="s">
        <v>8</v>
      </c>
      <c r="E69" s="96">
        <f>(72*2+32*2+48)*4</f>
        <v>1024</v>
      </c>
    </row>
    <row r="70" spans="2:5" ht="47.25" x14ac:dyDescent="0.25">
      <c r="B70" s="71"/>
      <c r="C70" s="110" t="s">
        <v>81</v>
      </c>
      <c r="D70" s="94"/>
      <c r="E70" s="94"/>
    </row>
    <row r="71" spans="2:5" ht="33.75" customHeight="1" x14ac:dyDescent="0.25">
      <c r="B71" s="71">
        <v>13</v>
      </c>
      <c r="C71" s="110" t="s">
        <v>779</v>
      </c>
      <c r="D71" s="111" t="s">
        <v>0</v>
      </c>
      <c r="E71" s="111">
        <v>21.2</v>
      </c>
    </row>
    <row r="72" spans="2:5" ht="15.75" x14ac:dyDescent="0.25">
      <c r="B72" s="71"/>
      <c r="C72" s="94" t="s">
        <v>59</v>
      </c>
      <c r="D72" s="96" t="s">
        <v>0</v>
      </c>
      <c r="E72" s="96">
        <f>4.24*5*1.01</f>
        <v>21.412000000000003</v>
      </c>
    </row>
    <row r="73" spans="2:5" ht="15.75" x14ac:dyDescent="0.25">
      <c r="B73" s="71"/>
      <c r="C73" s="95" t="s">
        <v>61</v>
      </c>
      <c r="D73" s="96" t="s">
        <v>6</v>
      </c>
      <c r="E73" s="108">
        <f>30*E71</f>
        <v>636</v>
      </c>
    </row>
    <row r="74" spans="2:5" ht="15.75" x14ac:dyDescent="0.25">
      <c r="B74" s="71"/>
      <c r="C74" s="95" t="s">
        <v>22</v>
      </c>
      <c r="D74" s="96" t="s">
        <v>1</v>
      </c>
      <c r="E74" s="101">
        <f>3.33*1.01/1000*5</f>
        <v>1.6816500000000002E-2</v>
      </c>
    </row>
    <row r="75" spans="2:5" ht="15.75" x14ac:dyDescent="0.25">
      <c r="B75" s="71"/>
      <c r="C75" s="95" t="s">
        <v>70</v>
      </c>
      <c r="D75" s="96" t="s">
        <v>1</v>
      </c>
      <c r="E75" s="101">
        <f>15.23*1.01/1000*5</f>
        <v>7.6911500000000008E-2</v>
      </c>
    </row>
    <row r="76" spans="2:5" ht="15.75" x14ac:dyDescent="0.25">
      <c r="B76" s="71"/>
      <c r="C76" s="95" t="s">
        <v>82</v>
      </c>
      <c r="D76" s="96" t="s">
        <v>8</v>
      </c>
      <c r="E76" s="96">
        <f>11*5</f>
        <v>55</v>
      </c>
    </row>
    <row r="77" spans="2:5" ht="15.75" x14ac:dyDescent="0.25">
      <c r="B77" s="71">
        <v>14</v>
      </c>
      <c r="C77" s="110" t="s">
        <v>788</v>
      </c>
      <c r="D77" s="111" t="s">
        <v>1</v>
      </c>
      <c r="E77" s="111">
        <f>0.253+0.014</f>
        <v>0.26700000000000002</v>
      </c>
    </row>
    <row r="78" spans="2:5" ht="15.75" x14ac:dyDescent="0.25">
      <c r="B78" s="71"/>
      <c r="C78" s="94" t="s">
        <v>65</v>
      </c>
      <c r="D78" s="96" t="s">
        <v>1</v>
      </c>
      <c r="E78" s="101">
        <f>(10.64*2+13.4*2+0.6*2+0.62*2)*1.03/1000*5</f>
        <v>0.26017800000000002</v>
      </c>
    </row>
    <row r="79" spans="2:5" ht="15.75" x14ac:dyDescent="0.25">
      <c r="B79" s="71"/>
      <c r="C79" s="94" t="s">
        <v>72</v>
      </c>
      <c r="D79" s="96" t="s">
        <v>1</v>
      </c>
      <c r="E79" s="101">
        <f>1.38*2*1.03/1000*5</f>
        <v>1.4213999999999999E-2</v>
      </c>
    </row>
    <row r="80" spans="2:5" s="102" customFormat="1" ht="15.75" x14ac:dyDescent="0.25">
      <c r="B80" s="71"/>
      <c r="C80" s="94" t="s">
        <v>156</v>
      </c>
      <c r="D80" s="96" t="s">
        <v>6</v>
      </c>
      <c r="E80" s="106">
        <f>E77*2.5%*1000</f>
        <v>6.6750000000000007</v>
      </c>
    </row>
    <row r="81" spans="2:5" ht="15.75" x14ac:dyDescent="0.25">
      <c r="B81" s="71"/>
      <c r="C81" s="94" t="s">
        <v>67</v>
      </c>
      <c r="D81" s="96" t="s">
        <v>51</v>
      </c>
      <c r="E81" s="96">
        <f>2*2*5</f>
        <v>20</v>
      </c>
    </row>
    <row r="82" spans="2:5" ht="15.75" x14ac:dyDescent="0.25">
      <c r="B82" s="71"/>
      <c r="C82" s="111" t="s">
        <v>83</v>
      </c>
      <c r="D82" s="94"/>
      <c r="E82" s="94"/>
    </row>
    <row r="83" spans="2:5" ht="33.75" customHeight="1" x14ac:dyDescent="0.25">
      <c r="B83" s="71">
        <v>15</v>
      </c>
      <c r="C83" s="110" t="s">
        <v>779</v>
      </c>
      <c r="D83" s="111" t="s">
        <v>0</v>
      </c>
      <c r="E83" s="111">
        <v>10.25</v>
      </c>
    </row>
    <row r="84" spans="2:5" ht="31.5" x14ac:dyDescent="0.25">
      <c r="B84" s="71"/>
      <c r="C84" s="107" t="s">
        <v>77</v>
      </c>
      <c r="D84" s="96" t="s">
        <v>0</v>
      </c>
      <c r="E84" s="99">
        <f>(0.97+9.28)*1.01</f>
        <v>10.352500000000001</v>
      </c>
    </row>
    <row r="85" spans="2:5" ht="15.75" x14ac:dyDescent="0.25">
      <c r="B85" s="71"/>
      <c r="C85" s="95" t="s">
        <v>61</v>
      </c>
      <c r="D85" s="96" t="s">
        <v>6</v>
      </c>
      <c r="E85" s="103">
        <f>30*E83</f>
        <v>307.5</v>
      </c>
    </row>
    <row r="86" spans="2:5" ht="15.75" x14ac:dyDescent="0.25">
      <c r="B86" s="71">
        <v>16</v>
      </c>
      <c r="C86" s="109" t="s">
        <v>781</v>
      </c>
      <c r="D86" s="96"/>
      <c r="E86" s="99"/>
    </row>
    <row r="87" spans="2:5" ht="15.75" x14ac:dyDescent="0.25">
      <c r="B87" s="71"/>
      <c r="C87" s="98" t="s">
        <v>35</v>
      </c>
      <c r="D87" s="94" t="s">
        <v>1</v>
      </c>
      <c r="E87" s="96">
        <f>(21.2+2.8)*1.01/1000</f>
        <v>2.4240000000000001E-2</v>
      </c>
    </row>
    <row r="88" spans="2:5" ht="15.75" x14ac:dyDescent="0.25">
      <c r="B88" s="71"/>
      <c r="C88" s="95" t="s">
        <v>64</v>
      </c>
      <c r="D88" s="96" t="s">
        <v>8</v>
      </c>
      <c r="E88" s="104">
        <v>4</v>
      </c>
    </row>
    <row r="89" spans="2:5" ht="15.75" x14ac:dyDescent="0.25">
      <c r="B89" s="71"/>
      <c r="C89" s="95" t="s">
        <v>78</v>
      </c>
      <c r="D89" s="96" t="s">
        <v>8</v>
      </c>
      <c r="E89" s="104">
        <v>8</v>
      </c>
    </row>
    <row r="90" spans="2:5" ht="15.75" x14ac:dyDescent="0.25">
      <c r="B90" s="71">
        <v>17</v>
      </c>
      <c r="C90" s="110" t="s">
        <v>788</v>
      </c>
      <c r="D90" s="111" t="s">
        <v>1</v>
      </c>
      <c r="E90" s="112">
        <f>E91+E92</f>
        <v>0.26907719999999996</v>
      </c>
    </row>
    <row r="91" spans="2:5" ht="15.75" x14ac:dyDescent="0.25">
      <c r="B91" s="71"/>
      <c r="C91" s="96" t="s">
        <v>65</v>
      </c>
      <c r="D91" s="96" t="s">
        <v>1</v>
      </c>
      <c r="E91" s="101">
        <f>(157.44+14.64+64.08)*1.03/1000</f>
        <v>0.24324479999999998</v>
      </c>
    </row>
    <row r="92" spans="2:5" ht="15.75" x14ac:dyDescent="0.25">
      <c r="B92" s="71"/>
      <c r="C92" s="96" t="s">
        <v>66</v>
      </c>
      <c r="D92" s="96" t="s">
        <v>1</v>
      </c>
      <c r="E92" s="101">
        <f>25.08*1.03/1000</f>
        <v>2.5832399999999998E-2</v>
      </c>
    </row>
    <row r="93" spans="2:5" s="102" customFormat="1" ht="15.75" x14ac:dyDescent="0.25">
      <c r="B93" s="71"/>
      <c r="C93" s="94" t="s">
        <v>156</v>
      </c>
      <c r="D93" s="96" t="s">
        <v>6</v>
      </c>
      <c r="E93" s="106">
        <f>E90*2.5%*1000</f>
        <v>6.7269299999999994</v>
      </c>
    </row>
    <row r="94" spans="2:5" ht="15.75" x14ac:dyDescent="0.25">
      <c r="B94" s="71"/>
      <c r="C94" s="96" t="s">
        <v>67</v>
      </c>
      <c r="D94" s="96" t="s">
        <v>8</v>
      </c>
      <c r="E94" s="96">
        <f>48</f>
        <v>48</v>
      </c>
    </row>
    <row r="95" spans="2:5" ht="15.75" x14ac:dyDescent="0.25">
      <c r="B95" s="71"/>
      <c r="C95" s="110" t="s">
        <v>84</v>
      </c>
      <c r="D95" s="94"/>
      <c r="E95" s="94"/>
    </row>
    <row r="96" spans="2:5" ht="31.5" x14ac:dyDescent="0.25">
      <c r="B96" s="71">
        <v>18</v>
      </c>
      <c r="C96" s="110" t="s">
        <v>779</v>
      </c>
      <c r="D96" s="111" t="s">
        <v>0</v>
      </c>
      <c r="E96" s="111">
        <v>8.25</v>
      </c>
    </row>
    <row r="97" spans="2:5" ht="15.75" x14ac:dyDescent="0.25">
      <c r="B97" s="71"/>
      <c r="C97" s="94" t="s">
        <v>85</v>
      </c>
      <c r="D97" s="96" t="s">
        <v>0</v>
      </c>
      <c r="E97" s="99">
        <f>8.25*1.01</f>
        <v>8.3324999999999996</v>
      </c>
    </row>
    <row r="98" spans="2:5" ht="15.75" x14ac:dyDescent="0.25">
      <c r="B98" s="71"/>
      <c r="C98" s="95" t="s">
        <v>61</v>
      </c>
      <c r="D98" s="96" t="s">
        <v>6</v>
      </c>
      <c r="E98" s="103">
        <f>E96*30</f>
        <v>247.5</v>
      </c>
    </row>
    <row r="99" spans="2:5" ht="15.75" x14ac:dyDescent="0.25">
      <c r="B99" s="71">
        <v>19</v>
      </c>
      <c r="C99" s="109" t="s">
        <v>62</v>
      </c>
      <c r="D99" s="96"/>
      <c r="E99" s="99"/>
    </row>
    <row r="100" spans="2:5" ht="15.75" x14ac:dyDescent="0.25">
      <c r="B100" s="71"/>
      <c r="C100" s="98" t="s">
        <v>35</v>
      </c>
      <c r="D100" s="94" t="s">
        <v>1</v>
      </c>
      <c r="E100" s="101">
        <f>(3.28*4+5.66)*1.01/1000</f>
        <v>1.89678E-2</v>
      </c>
    </row>
    <row r="101" spans="2:5" ht="15.75" x14ac:dyDescent="0.25">
      <c r="B101" s="71"/>
      <c r="C101" s="95" t="s">
        <v>78</v>
      </c>
      <c r="D101" s="96" t="s">
        <v>8</v>
      </c>
      <c r="E101" s="104">
        <v>15</v>
      </c>
    </row>
    <row r="102" spans="2:5" ht="15.75" x14ac:dyDescent="0.25">
      <c r="B102" s="71">
        <v>20</v>
      </c>
      <c r="C102" s="110" t="s">
        <v>788</v>
      </c>
      <c r="D102" s="111" t="s">
        <v>1</v>
      </c>
      <c r="E102" s="112">
        <f>0.013+0.002</f>
        <v>1.4999999999999999E-2</v>
      </c>
    </row>
    <row r="103" spans="2:5" ht="15.75" x14ac:dyDescent="0.25">
      <c r="B103" s="71"/>
      <c r="C103" s="96" t="s">
        <v>65</v>
      </c>
      <c r="D103" s="96" t="s">
        <v>1</v>
      </c>
      <c r="E103" s="101">
        <f>12.5*1.03/1000</f>
        <v>1.2874999999999999E-2</v>
      </c>
    </row>
    <row r="104" spans="2:5" ht="15.75" x14ac:dyDescent="0.25">
      <c r="B104" s="71"/>
      <c r="C104" s="96" t="s">
        <v>66</v>
      </c>
      <c r="D104" s="96" t="s">
        <v>1</v>
      </c>
      <c r="E104" s="101">
        <f>2.24*1.03/1000</f>
        <v>2.3072000000000006E-3</v>
      </c>
    </row>
    <row r="105" spans="2:5" s="102" customFormat="1" ht="15.75" x14ac:dyDescent="0.25">
      <c r="B105" s="71"/>
      <c r="C105" s="94" t="s">
        <v>156</v>
      </c>
      <c r="D105" s="96" t="s">
        <v>6</v>
      </c>
      <c r="E105" s="106">
        <f>E102*2.5%*1000</f>
        <v>0.375</v>
      </c>
    </row>
    <row r="106" spans="2:5" ht="15.75" customHeight="1" x14ac:dyDescent="0.25">
      <c r="B106" s="71"/>
      <c r="C106" s="110" t="s">
        <v>86</v>
      </c>
      <c r="D106" s="96"/>
      <c r="E106" s="101"/>
    </row>
    <row r="107" spans="2:5" ht="15.75" x14ac:dyDescent="0.25">
      <c r="B107" s="71">
        <v>21</v>
      </c>
      <c r="C107" s="110" t="s">
        <v>789</v>
      </c>
      <c r="D107" s="111" t="s">
        <v>1</v>
      </c>
      <c r="E107" s="112">
        <f>0.008+0.117+0.041</f>
        <v>0.16600000000000001</v>
      </c>
    </row>
    <row r="108" spans="2:5" ht="15.75" x14ac:dyDescent="0.25">
      <c r="B108" s="71"/>
      <c r="C108" s="96" t="s">
        <v>87</v>
      </c>
      <c r="D108" s="96" t="s">
        <v>1</v>
      </c>
      <c r="E108" s="101">
        <f>(5.8+1.84)*1.03/1000</f>
        <v>7.8691999999999998E-3</v>
      </c>
    </row>
    <row r="109" spans="2:5" ht="15.75" x14ac:dyDescent="0.25">
      <c r="B109" s="71"/>
      <c r="C109" s="96" t="s">
        <v>88</v>
      </c>
      <c r="D109" s="96" t="s">
        <v>1</v>
      </c>
      <c r="E109" s="101">
        <f>(27+59.68+12.64+17.8)*1.03/1000</f>
        <v>0.12063360000000001</v>
      </c>
    </row>
    <row r="110" spans="2:5" ht="15.75" x14ac:dyDescent="0.25">
      <c r="B110" s="71"/>
      <c r="C110" s="96" t="s">
        <v>89</v>
      </c>
      <c r="D110" s="96" t="s">
        <v>1</v>
      </c>
      <c r="E110" s="101">
        <f>(5.85+18.15+12.1+5.24)*1.03/1000</f>
        <v>4.2580200000000006E-2</v>
      </c>
    </row>
    <row r="111" spans="2:5" s="102" customFormat="1" ht="15.75" x14ac:dyDescent="0.25">
      <c r="B111" s="71"/>
      <c r="C111" s="94" t="s">
        <v>156</v>
      </c>
      <c r="D111" s="96" t="s">
        <v>6</v>
      </c>
      <c r="E111" s="106">
        <f>E107*2.5%*1000</f>
        <v>4.1500000000000004</v>
      </c>
    </row>
    <row r="112" spans="2:5" ht="15.75" x14ac:dyDescent="0.25">
      <c r="B112" s="71"/>
      <c r="C112" s="96" t="s">
        <v>90</v>
      </c>
      <c r="D112" s="96" t="s">
        <v>51</v>
      </c>
      <c r="E112" s="96">
        <v>12</v>
      </c>
    </row>
    <row r="113" spans="2:5" ht="15.75" customHeight="1" x14ac:dyDescent="0.25">
      <c r="B113" s="71"/>
      <c r="C113" s="110" t="s">
        <v>91</v>
      </c>
      <c r="D113" s="96" t="s">
        <v>1</v>
      </c>
      <c r="E113" s="96"/>
    </row>
    <row r="114" spans="2:5" ht="31.5" x14ac:dyDescent="0.25">
      <c r="B114" s="71">
        <v>22</v>
      </c>
      <c r="C114" s="110" t="s">
        <v>821</v>
      </c>
      <c r="D114" s="111" t="s">
        <v>1</v>
      </c>
      <c r="E114" s="112">
        <f>0.148+0.015+0.203+0.006</f>
        <v>0.372</v>
      </c>
    </row>
    <row r="115" spans="2:5" ht="15.75" x14ac:dyDescent="0.25">
      <c r="B115" s="71"/>
      <c r="C115" s="96" t="s">
        <v>92</v>
      </c>
      <c r="D115" s="96" t="s">
        <v>1</v>
      </c>
      <c r="E115" s="101">
        <f>147.75*1.03/1000</f>
        <v>0.1521825</v>
      </c>
    </row>
    <row r="116" spans="2:5" ht="15.75" x14ac:dyDescent="0.25">
      <c r="B116" s="71"/>
      <c r="C116" s="96" t="s">
        <v>93</v>
      </c>
      <c r="D116" s="96" t="s">
        <v>1</v>
      </c>
      <c r="E116" s="101">
        <f>14.65*1.03/1000</f>
        <v>1.50895E-2</v>
      </c>
    </row>
    <row r="117" spans="2:5" ht="15.75" x14ac:dyDescent="0.25">
      <c r="B117" s="71"/>
      <c r="C117" s="96" t="s">
        <v>88</v>
      </c>
      <c r="D117" s="96" t="s">
        <v>1</v>
      </c>
      <c r="E117" s="101">
        <f>(150.67+5.38+5.07+3.09+1.11+1.68+20.16+15.8)*1.03/1000</f>
        <v>0.20904880000000001</v>
      </c>
    </row>
    <row r="118" spans="2:5" ht="15.75" x14ac:dyDescent="0.25">
      <c r="B118" s="71"/>
      <c r="C118" s="96" t="s">
        <v>72</v>
      </c>
      <c r="D118" s="96" t="s">
        <v>1</v>
      </c>
      <c r="E118" s="101">
        <f>(2.04+3.52)*1.03/1000</f>
        <v>5.7268000000000006E-3</v>
      </c>
    </row>
    <row r="119" spans="2:5" s="102" customFormat="1" ht="15.75" x14ac:dyDescent="0.25">
      <c r="B119" s="71"/>
      <c r="C119" s="94" t="s">
        <v>156</v>
      </c>
      <c r="D119" s="96" t="s">
        <v>6</v>
      </c>
      <c r="E119" s="106">
        <f>E114*2.5%*1000</f>
        <v>9.3000000000000007</v>
      </c>
    </row>
    <row r="120" spans="2:5" ht="15.75" x14ac:dyDescent="0.25">
      <c r="B120" s="71"/>
      <c r="C120" s="96" t="s">
        <v>94</v>
      </c>
      <c r="D120" s="96" t="s">
        <v>8</v>
      </c>
      <c r="E120" s="96">
        <v>16</v>
      </c>
    </row>
    <row r="121" spans="2:5" ht="15.75" x14ac:dyDescent="0.25">
      <c r="B121" s="71"/>
      <c r="C121" s="110" t="s">
        <v>96</v>
      </c>
      <c r="D121" s="96" t="s">
        <v>1</v>
      </c>
      <c r="E121" s="101"/>
    </row>
    <row r="122" spans="2:5" ht="15.75" x14ac:dyDescent="0.25">
      <c r="B122" s="71">
        <v>23</v>
      </c>
      <c r="C122" s="110" t="s">
        <v>789</v>
      </c>
      <c r="D122" s="111" t="s">
        <v>1</v>
      </c>
      <c r="E122" s="112">
        <f>0.006+0.118+0.005+0.011</f>
        <v>0.14000000000000001</v>
      </c>
    </row>
    <row r="123" spans="2:5" ht="15.75" x14ac:dyDescent="0.25">
      <c r="B123" s="71"/>
      <c r="C123" s="96" t="s">
        <v>87</v>
      </c>
      <c r="D123" s="96" t="s">
        <v>1</v>
      </c>
      <c r="E123" s="101">
        <f>5.8*1.03/1000</f>
        <v>5.9740000000000001E-3</v>
      </c>
    </row>
    <row r="124" spans="2:5" ht="15.75" x14ac:dyDescent="0.25">
      <c r="B124" s="71"/>
      <c r="C124" s="96" t="s">
        <v>97</v>
      </c>
      <c r="D124" s="96" t="s">
        <v>1</v>
      </c>
      <c r="E124" s="101">
        <f>(33.6+43.92+9.22+25.8+5.66)*1.03/1000</f>
        <v>0.12174600000000001</v>
      </c>
    </row>
    <row r="125" spans="2:5" ht="15.75" x14ac:dyDescent="0.25">
      <c r="B125" s="71"/>
      <c r="C125" s="96" t="s">
        <v>98</v>
      </c>
      <c r="D125" s="96" t="s">
        <v>1</v>
      </c>
      <c r="E125" s="101">
        <f>5.34*1.03/1000</f>
        <v>5.5002000000000002E-3</v>
      </c>
    </row>
    <row r="126" spans="2:5" ht="15.75" x14ac:dyDescent="0.25">
      <c r="B126" s="71"/>
      <c r="C126" s="96" t="s">
        <v>99</v>
      </c>
      <c r="D126" s="96" t="s">
        <v>1</v>
      </c>
      <c r="E126" s="101">
        <f>(8.04+3.32)*1.03/1000</f>
        <v>1.1700799999999999E-2</v>
      </c>
    </row>
    <row r="127" spans="2:5" s="102" customFormat="1" ht="15.75" x14ac:dyDescent="0.25">
      <c r="B127" s="71"/>
      <c r="C127" s="94" t="s">
        <v>156</v>
      </c>
      <c r="D127" s="96" t="s">
        <v>6</v>
      </c>
      <c r="E127" s="106">
        <f>E122*2.5%*1000</f>
        <v>3.5000000000000004</v>
      </c>
    </row>
    <row r="128" spans="2:5" ht="15.75" x14ac:dyDescent="0.25">
      <c r="B128" s="71">
        <v>24</v>
      </c>
      <c r="C128" s="110" t="s">
        <v>790</v>
      </c>
      <c r="D128" s="111" t="s">
        <v>7</v>
      </c>
      <c r="E128" s="112">
        <v>48.29</v>
      </c>
    </row>
    <row r="129" spans="2:5" ht="15.75" x14ac:dyDescent="0.25">
      <c r="B129" s="71"/>
      <c r="C129" s="96" t="s">
        <v>100</v>
      </c>
      <c r="D129" s="96" t="s">
        <v>7</v>
      </c>
      <c r="E129" s="96">
        <f>1.05*48.29</f>
        <v>50.704500000000003</v>
      </c>
    </row>
    <row r="130" spans="2:5" ht="15.75" x14ac:dyDescent="0.25">
      <c r="B130" s="71"/>
      <c r="C130" s="96"/>
      <c r="D130" s="96"/>
      <c r="E130" s="96"/>
    </row>
    <row r="131" spans="2:5" ht="15.75" x14ac:dyDescent="0.25">
      <c r="B131" s="71"/>
      <c r="C131" s="97" t="s">
        <v>101</v>
      </c>
      <c r="D131" s="96"/>
      <c r="E131" s="96"/>
    </row>
    <row r="132" spans="2:5" ht="15.75" x14ac:dyDescent="0.25">
      <c r="B132" s="71"/>
      <c r="C132" s="110" t="s">
        <v>102</v>
      </c>
      <c r="D132" s="94"/>
      <c r="E132" s="94"/>
    </row>
    <row r="133" spans="2:5" ht="31.5" x14ac:dyDescent="0.25">
      <c r="B133" s="71">
        <v>25</v>
      </c>
      <c r="C133" s="110" t="s">
        <v>791</v>
      </c>
      <c r="D133" s="111" t="s">
        <v>0</v>
      </c>
      <c r="E133" s="111">
        <v>22.1</v>
      </c>
    </row>
    <row r="134" spans="2:5" ht="31.5" x14ac:dyDescent="0.25">
      <c r="B134" s="71"/>
      <c r="C134" s="100" t="s">
        <v>103</v>
      </c>
      <c r="D134" s="94" t="s">
        <v>0</v>
      </c>
      <c r="E134" s="108">
        <v>22.1</v>
      </c>
    </row>
    <row r="135" spans="2:5" ht="15.75" x14ac:dyDescent="0.25">
      <c r="B135" s="71"/>
      <c r="C135" s="95" t="s">
        <v>69</v>
      </c>
      <c r="D135" s="96" t="s">
        <v>0</v>
      </c>
      <c r="E135" s="99">
        <f>E133*0.24</f>
        <v>5.3040000000000003</v>
      </c>
    </row>
    <row r="136" spans="2:5" ht="15.75" x14ac:dyDescent="0.25">
      <c r="B136" s="71">
        <v>26</v>
      </c>
      <c r="C136" s="110" t="s">
        <v>792</v>
      </c>
      <c r="D136" s="111" t="s">
        <v>0</v>
      </c>
      <c r="E136" s="111">
        <v>2.8</v>
      </c>
    </row>
    <row r="137" spans="2:5" ht="15.75" x14ac:dyDescent="0.25">
      <c r="B137" s="71"/>
      <c r="C137" s="96" t="s">
        <v>104</v>
      </c>
      <c r="D137" s="96" t="s">
        <v>0</v>
      </c>
      <c r="E137" s="99">
        <f>2.8*1.015</f>
        <v>2.8419999999999996</v>
      </c>
    </row>
    <row r="138" spans="2:5" ht="15.75" x14ac:dyDescent="0.25">
      <c r="B138" s="71"/>
      <c r="C138" s="95" t="s">
        <v>28</v>
      </c>
      <c r="D138" s="96" t="s">
        <v>1</v>
      </c>
      <c r="E138" s="96">
        <f>39.78*1.01/1000</f>
        <v>4.0177800000000007E-2</v>
      </c>
    </row>
    <row r="139" spans="2:5" ht="15.75" x14ac:dyDescent="0.25">
      <c r="B139" s="71"/>
      <c r="C139" s="95" t="s">
        <v>32</v>
      </c>
      <c r="D139" s="96" t="s">
        <v>1</v>
      </c>
      <c r="E139" s="96">
        <f>(110.57+0.06+0.12)*1.01/1000</f>
        <v>0.1118575</v>
      </c>
    </row>
    <row r="140" spans="2:5" ht="15.75" x14ac:dyDescent="0.25">
      <c r="B140" s="71"/>
      <c r="C140" s="95" t="s">
        <v>70</v>
      </c>
      <c r="D140" s="96" t="s">
        <v>1</v>
      </c>
      <c r="E140" s="96">
        <f>(35.84+18.48)*1.01/1000</f>
        <v>5.4863200000000008E-2</v>
      </c>
    </row>
    <row r="141" spans="2:5" ht="15.75" x14ac:dyDescent="0.25">
      <c r="B141" s="71">
        <v>27</v>
      </c>
      <c r="C141" s="109" t="s">
        <v>105</v>
      </c>
      <c r="D141" s="96"/>
      <c r="E141" s="99"/>
    </row>
    <row r="142" spans="2:5" ht="15.75" x14ac:dyDescent="0.25">
      <c r="B142" s="71"/>
      <c r="C142" s="95" t="s">
        <v>106</v>
      </c>
      <c r="D142" s="96" t="s">
        <v>1</v>
      </c>
      <c r="E142" s="99">
        <f>114.24/1000</f>
        <v>0.11423999999999999</v>
      </c>
    </row>
    <row r="143" spans="2:5" ht="15.75" x14ac:dyDescent="0.25">
      <c r="B143" s="71"/>
      <c r="C143" s="95" t="s">
        <v>107</v>
      </c>
      <c r="D143" s="96" t="s">
        <v>1</v>
      </c>
      <c r="E143" s="99">
        <f>46.48/1000</f>
        <v>4.6479999999999994E-2</v>
      </c>
    </row>
    <row r="144" spans="2:5" ht="15.75" x14ac:dyDescent="0.25">
      <c r="B144" s="71"/>
      <c r="C144" s="95"/>
      <c r="D144" s="96"/>
      <c r="E144" s="99"/>
    </row>
    <row r="145" spans="2:5" ht="15.75" x14ac:dyDescent="0.25">
      <c r="B145" s="71"/>
      <c r="C145" s="95" t="s">
        <v>108</v>
      </c>
      <c r="D145" s="96" t="s">
        <v>8</v>
      </c>
      <c r="E145" s="104">
        <v>94</v>
      </c>
    </row>
    <row r="146" spans="2:5" ht="15.75" x14ac:dyDescent="0.25">
      <c r="B146" s="71"/>
      <c r="C146" s="95" t="s">
        <v>109</v>
      </c>
      <c r="D146" s="96" t="s">
        <v>8</v>
      </c>
      <c r="E146" s="104">
        <v>16</v>
      </c>
    </row>
    <row r="147" spans="2:5" ht="15.75" x14ac:dyDescent="0.25">
      <c r="B147" s="71"/>
      <c r="C147" s="95" t="s">
        <v>110</v>
      </c>
      <c r="D147" s="96" t="s">
        <v>1</v>
      </c>
      <c r="E147" s="101">
        <f>0.94*1.03/1000</f>
        <v>9.681999999999999E-4</v>
      </c>
    </row>
    <row r="148" spans="2:5" ht="15.75" x14ac:dyDescent="0.25">
      <c r="B148" s="71"/>
      <c r="C148" s="95" t="s">
        <v>111</v>
      </c>
      <c r="D148" s="96" t="s">
        <v>1</v>
      </c>
      <c r="E148" s="101">
        <f>1.41*1.03/1000</f>
        <v>1.4522999999999999E-3</v>
      </c>
    </row>
    <row r="149" spans="2:5" ht="15.75" customHeight="1" x14ac:dyDescent="0.25">
      <c r="B149" s="71"/>
      <c r="C149" s="98"/>
      <c r="D149" s="98"/>
      <c r="E149" s="98"/>
    </row>
    <row r="150" spans="2:5" ht="47.25" x14ac:dyDescent="0.25">
      <c r="B150" s="71">
        <v>28</v>
      </c>
      <c r="C150" s="110" t="s">
        <v>793</v>
      </c>
      <c r="D150" s="111" t="s">
        <v>1</v>
      </c>
      <c r="E150" s="112">
        <f>0.489+0.042</f>
        <v>0.53100000000000003</v>
      </c>
    </row>
    <row r="151" spans="2:5" ht="15.75" x14ac:dyDescent="0.25">
      <c r="B151" s="71"/>
      <c r="C151" s="96" t="s">
        <v>65</v>
      </c>
      <c r="D151" s="96" t="s">
        <v>1</v>
      </c>
      <c r="E151" s="99">
        <f>0.48868*1.03</f>
        <v>0.50334040000000002</v>
      </c>
    </row>
    <row r="152" spans="2:5" ht="15.75" x14ac:dyDescent="0.25">
      <c r="B152" s="71"/>
      <c r="C152" s="96" t="s">
        <v>72</v>
      </c>
      <c r="D152" s="96" t="s">
        <v>1</v>
      </c>
      <c r="E152" s="99">
        <f>0.042*1.03</f>
        <v>4.3260000000000007E-2</v>
      </c>
    </row>
    <row r="153" spans="2:5" ht="15.75" x14ac:dyDescent="0.25">
      <c r="B153" s="71"/>
      <c r="C153" s="96" t="s">
        <v>112</v>
      </c>
      <c r="D153" s="96" t="s">
        <v>8</v>
      </c>
      <c r="E153" s="104">
        <v>48</v>
      </c>
    </row>
    <row r="154" spans="2:5" ht="15.75" x14ac:dyDescent="0.25">
      <c r="B154" s="71"/>
      <c r="C154" s="110" t="s">
        <v>113</v>
      </c>
      <c r="D154" s="94"/>
      <c r="E154" s="94"/>
    </row>
    <row r="155" spans="2:5" ht="15.75" x14ac:dyDescent="0.25">
      <c r="B155" s="71">
        <v>29</v>
      </c>
      <c r="C155" s="110" t="s">
        <v>794</v>
      </c>
      <c r="D155" s="111" t="s">
        <v>0</v>
      </c>
      <c r="E155" s="112">
        <v>7.14</v>
      </c>
    </row>
    <row r="156" spans="2:5" ht="15.75" x14ac:dyDescent="0.25">
      <c r="B156" s="71"/>
      <c r="C156" s="107" t="s">
        <v>115</v>
      </c>
      <c r="D156" s="107" t="s">
        <v>0</v>
      </c>
      <c r="E156" s="94">
        <f>1.015*(0.14*16+0.14*20+0.14*6+0.14*9)</f>
        <v>7.2470999999999997</v>
      </c>
    </row>
    <row r="157" spans="2:5" ht="15.75" x14ac:dyDescent="0.25">
      <c r="B157" s="71">
        <v>30</v>
      </c>
      <c r="C157" s="110" t="s">
        <v>114</v>
      </c>
      <c r="D157" s="111" t="s">
        <v>0</v>
      </c>
      <c r="E157" s="113">
        <v>6</v>
      </c>
    </row>
    <row r="158" spans="2:5" ht="15.75" x14ac:dyDescent="0.25">
      <c r="B158" s="71"/>
      <c r="C158" s="107" t="s">
        <v>116</v>
      </c>
      <c r="D158" s="107" t="s">
        <v>0</v>
      </c>
      <c r="E158" s="94">
        <f>1.015*(0.4*9+0.8*3)</f>
        <v>6.09</v>
      </c>
    </row>
    <row r="159" spans="2:5" ht="15.75" x14ac:dyDescent="0.25">
      <c r="B159" s="71">
        <v>31</v>
      </c>
      <c r="C159" s="110" t="s">
        <v>795</v>
      </c>
      <c r="D159" s="111" t="s">
        <v>0</v>
      </c>
      <c r="E159" s="111">
        <f>(E160+E161)/1.01</f>
        <v>69.930000000000007</v>
      </c>
    </row>
    <row r="160" spans="2:5" ht="15.75" x14ac:dyDescent="0.25">
      <c r="B160" s="71"/>
      <c r="C160" s="100" t="s">
        <v>117</v>
      </c>
      <c r="D160" s="96" t="s">
        <v>0</v>
      </c>
      <c r="E160" s="96">
        <f>1.01*(0.9*16+0.42*20+0.8*6+0.75*9+2.5*9)</f>
        <v>57.418500000000002</v>
      </c>
    </row>
    <row r="161" spans="2:5" ht="15.75" x14ac:dyDescent="0.25">
      <c r="B161" s="71"/>
      <c r="C161" s="100" t="s">
        <v>118</v>
      </c>
      <c r="D161" s="96" t="s">
        <v>0</v>
      </c>
      <c r="E161" s="96">
        <f>4.36*3*1.01</f>
        <v>13.210800000000003</v>
      </c>
    </row>
    <row r="162" spans="2:5" ht="15.75" x14ac:dyDescent="0.25">
      <c r="B162" s="71"/>
      <c r="C162" s="95" t="s">
        <v>61</v>
      </c>
      <c r="D162" s="96" t="s">
        <v>6</v>
      </c>
      <c r="E162" s="103">
        <f>E159*30</f>
        <v>2097.9</v>
      </c>
    </row>
    <row r="163" spans="2:5" ht="15.75" x14ac:dyDescent="0.25">
      <c r="B163" s="71"/>
      <c r="C163" s="100" t="s">
        <v>119</v>
      </c>
      <c r="D163" s="96" t="s">
        <v>51</v>
      </c>
      <c r="E163" s="96">
        <f>6*16+6*20+6*6+6*9</f>
        <v>306</v>
      </c>
    </row>
    <row r="164" spans="2:5" ht="15.75" x14ac:dyDescent="0.25">
      <c r="B164" s="71">
        <v>32</v>
      </c>
      <c r="C164" s="109" t="s">
        <v>781</v>
      </c>
      <c r="D164" s="96"/>
      <c r="E164" s="96"/>
    </row>
    <row r="165" spans="2:5" ht="15.75" x14ac:dyDescent="0.25">
      <c r="B165" s="71"/>
      <c r="C165" s="96" t="s">
        <v>122</v>
      </c>
      <c r="D165" s="96" t="s">
        <v>1</v>
      </c>
      <c r="E165" s="96">
        <f>(5.15*16+2.58*20+5.15*6+5.15*9+5.15*3+12.87*9)*1.01/1000</f>
        <v>0.34595529999999997</v>
      </c>
    </row>
    <row r="166" spans="2:5" ht="15.75" x14ac:dyDescent="0.25">
      <c r="B166" s="71"/>
      <c r="C166" s="96"/>
      <c r="D166" s="96"/>
      <c r="E166" s="96"/>
    </row>
    <row r="167" spans="2:5" ht="15.75" x14ac:dyDescent="0.25">
      <c r="B167" s="71"/>
      <c r="C167" s="96" t="s">
        <v>123</v>
      </c>
      <c r="D167" s="96" t="s">
        <v>8</v>
      </c>
      <c r="E167" s="96">
        <v>272</v>
      </c>
    </row>
    <row r="168" spans="2:5" ht="15.75" x14ac:dyDescent="0.25">
      <c r="B168" s="71"/>
      <c r="C168" s="96" t="s">
        <v>124</v>
      </c>
      <c r="D168" s="96" t="s">
        <v>8</v>
      </c>
      <c r="E168" s="96">
        <v>36</v>
      </c>
    </row>
    <row r="169" spans="2:5" ht="15.75" x14ac:dyDescent="0.25">
      <c r="B169" s="71"/>
      <c r="C169" s="96" t="s">
        <v>111</v>
      </c>
      <c r="D169" s="96" t="s">
        <v>1</v>
      </c>
      <c r="E169" s="96">
        <f>1.41*3*1.03/1000</f>
        <v>4.3568999999999995E-3</v>
      </c>
    </row>
    <row r="170" spans="2:5" ht="15.75" x14ac:dyDescent="0.25">
      <c r="B170" s="71"/>
      <c r="C170" s="96" t="s">
        <v>110</v>
      </c>
      <c r="D170" s="96" t="s">
        <v>1</v>
      </c>
      <c r="E170" s="96">
        <f>(0.94*16+0.94*20+0.94*6+0.94*9+0.94*9)*1.03/1000</f>
        <v>5.8091999999999998E-2</v>
      </c>
    </row>
    <row r="171" spans="2:5" ht="15.75" x14ac:dyDescent="0.25">
      <c r="B171" s="71">
        <v>33</v>
      </c>
      <c r="C171" s="110" t="s">
        <v>125</v>
      </c>
      <c r="D171" s="98" t="s">
        <v>1</v>
      </c>
      <c r="E171" s="98">
        <f>E173+E174</f>
        <v>0.3369336</v>
      </c>
    </row>
    <row r="172" spans="2:5" ht="35.25" customHeight="1" x14ac:dyDescent="0.25">
      <c r="B172" s="71">
        <v>34</v>
      </c>
      <c r="C172" s="110" t="s">
        <v>796</v>
      </c>
      <c r="D172" s="111" t="s">
        <v>1</v>
      </c>
      <c r="E172" s="112">
        <f>0.307+0.021</f>
        <v>0.32800000000000001</v>
      </c>
    </row>
    <row r="173" spans="2:5" ht="15.75" x14ac:dyDescent="0.25">
      <c r="B173" s="71"/>
      <c r="C173" s="96" t="s">
        <v>126</v>
      </c>
      <c r="D173" s="96" t="s">
        <v>1</v>
      </c>
      <c r="E173" s="96">
        <f>(27.92+5.66+3.72+13.96*2+5.66*2+4.88*2+27.92*2+4.88*2+27.92+7.5+3.72+31.56+4.44+3.72+31.56*2+4.44*2+1.86*2)*1.03/1000</f>
        <v>0.31567440000000002</v>
      </c>
    </row>
    <row r="174" spans="2:5" ht="15.75" x14ac:dyDescent="0.25">
      <c r="B174" s="71"/>
      <c r="C174" s="96" t="s">
        <v>72</v>
      </c>
      <c r="D174" s="96" t="s">
        <v>1</v>
      </c>
      <c r="E174" s="96">
        <f>(2.4+2.88*2+3.84*2+2.4+2.4)*1.03/1000</f>
        <v>2.1259199999999995E-2</v>
      </c>
    </row>
    <row r="175" spans="2:5" s="102" customFormat="1" ht="15.75" x14ac:dyDescent="0.25">
      <c r="B175" s="71"/>
      <c r="C175" s="94" t="s">
        <v>156</v>
      </c>
      <c r="D175" s="96" t="s">
        <v>6</v>
      </c>
      <c r="E175" s="106">
        <f>E172*2.5%*1000</f>
        <v>8.2000000000000011</v>
      </c>
    </row>
    <row r="176" spans="2:5" ht="15.75" x14ac:dyDescent="0.25">
      <c r="B176" s="71"/>
      <c r="C176" s="96" t="s">
        <v>127</v>
      </c>
      <c r="D176" s="96" t="s">
        <v>51</v>
      </c>
      <c r="E176" s="96">
        <f>8+6*2+8*2+8+8+8*2</f>
        <v>68</v>
      </c>
    </row>
    <row r="177" spans="2:5" ht="31.5" x14ac:dyDescent="0.25">
      <c r="B177" s="71"/>
      <c r="C177" s="110" t="s">
        <v>128</v>
      </c>
      <c r="D177" s="94"/>
      <c r="E177" s="94"/>
    </row>
    <row r="178" spans="2:5" ht="31.5" x14ac:dyDescent="0.25">
      <c r="B178" s="71">
        <v>35</v>
      </c>
      <c r="C178" s="110" t="s">
        <v>779</v>
      </c>
      <c r="D178" s="111" t="s">
        <v>0</v>
      </c>
      <c r="E178" s="111">
        <v>1.3</v>
      </c>
    </row>
    <row r="179" spans="2:5" ht="15.75" x14ac:dyDescent="0.25">
      <c r="B179" s="71"/>
      <c r="C179" s="107" t="s">
        <v>115</v>
      </c>
      <c r="D179" s="107" t="s">
        <v>0</v>
      </c>
      <c r="E179" s="94">
        <f>1.015*0.6</f>
        <v>0.60899999999999987</v>
      </c>
    </row>
    <row r="180" spans="2:5" ht="15.75" x14ac:dyDescent="0.25">
      <c r="B180" s="71"/>
      <c r="C180" s="100" t="s">
        <v>129</v>
      </c>
      <c r="D180" s="96" t="s">
        <v>0</v>
      </c>
      <c r="E180" s="94">
        <f>1.01*1.3</f>
        <v>1.3130000000000002</v>
      </c>
    </row>
    <row r="181" spans="2:5" ht="31.5" x14ac:dyDescent="0.25">
      <c r="B181" s="71">
        <v>36</v>
      </c>
      <c r="C181" s="110" t="s">
        <v>779</v>
      </c>
      <c r="D181" s="111" t="s">
        <v>0</v>
      </c>
      <c r="E181" s="111">
        <v>8</v>
      </c>
    </row>
    <row r="182" spans="2:5" ht="15.75" x14ac:dyDescent="0.25">
      <c r="B182" s="71"/>
      <c r="C182" s="100" t="s">
        <v>117</v>
      </c>
      <c r="D182" s="96" t="s">
        <v>0</v>
      </c>
      <c r="E182" s="94">
        <f>1.01*8</f>
        <v>8.08</v>
      </c>
    </row>
    <row r="183" spans="2:5" ht="15.75" x14ac:dyDescent="0.25">
      <c r="B183" s="71"/>
      <c r="C183" s="95" t="s">
        <v>61</v>
      </c>
      <c r="D183" s="96" t="s">
        <v>6</v>
      </c>
      <c r="E183" s="108">
        <f>(E178+E181)*30</f>
        <v>279</v>
      </c>
    </row>
    <row r="184" spans="2:5" ht="15.75" x14ac:dyDescent="0.25">
      <c r="B184" s="71"/>
      <c r="C184" s="96" t="s">
        <v>110</v>
      </c>
      <c r="D184" s="96" t="s">
        <v>1</v>
      </c>
      <c r="E184" s="96">
        <f>0.94*1.03/1000</f>
        <v>9.681999999999999E-4</v>
      </c>
    </row>
    <row r="185" spans="2:5" ht="15.75" x14ac:dyDescent="0.25">
      <c r="B185" s="71"/>
      <c r="C185" s="100" t="s">
        <v>121</v>
      </c>
      <c r="D185" s="96" t="s">
        <v>8</v>
      </c>
      <c r="E185" s="96">
        <v>1</v>
      </c>
    </row>
    <row r="186" spans="2:5" ht="15.75" x14ac:dyDescent="0.25">
      <c r="B186" s="71"/>
      <c r="C186" s="96" t="s">
        <v>95</v>
      </c>
      <c r="D186" s="96" t="s">
        <v>1</v>
      </c>
      <c r="E186" s="114">
        <f>0.06/1000</f>
        <v>5.9999999999999995E-5</v>
      </c>
    </row>
    <row r="187" spans="2:5" ht="15.75" x14ac:dyDescent="0.25">
      <c r="B187" s="71">
        <v>37</v>
      </c>
      <c r="C187" s="109" t="s">
        <v>62</v>
      </c>
      <c r="D187" s="96"/>
      <c r="E187" s="96"/>
    </row>
    <row r="188" spans="2:5" ht="17.25" customHeight="1" x14ac:dyDescent="0.25">
      <c r="B188" s="71"/>
      <c r="C188" s="96" t="s">
        <v>122</v>
      </c>
      <c r="D188" s="96" t="s">
        <v>1</v>
      </c>
      <c r="E188" s="96">
        <f>54.39*1.01/1000</f>
        <v>5.4933900000000001E-2</v>
      </c>
    </row>
    <row r="189" spans="2:5" ht="17.25" customHeight="1" x14ac:dyDescent="0.25">
      <c r="B189" s="71"/>
      <c r="C189" s="96"/>
      <c r="D189" s="96"/>
      <c r="E189" s="96"/>
    </row>
    <row r="190" spans="2:5" ht="17.25" customHeight="1" x14ac:dyDescent="0.25">
      <c r="B190" s="71"/>
      <c r="C190" s="97" t="s">
        <v>130</v>
      </c>
      <c r="D190" s="96"/>
      <c r="E190" s="96"/>
    </row>
    <row r="191" spans="2:5" ht="26.25" customHeight="1" x14ac:dyDescent="0.25">
      <c r="B191" s="71">
        <v>38</v>
      </c>
      <c r="C191" s="110" t="s">
        <v>797</v>
      </c>
      <c r="D191" s="111" t="s">
        <v>0</v>
      </c>
      <c r="E191" s="111">
        <v>3.2</v>
      </c>
    </row>
    <row r="192" spans="2:5" ht="17.25" customHeight="1" x14ac:dyDescent="0.25">
      <c r="B192" s="71"/>
      <c r="C192" s="96" t="s">
        <v>131</v>
      </c>
      <c r="D192" s="96" t="s">
        <v>51</v>
      </c>
      <c r="E192" s="96">
        <f>(1.5+1.7)*400</f>
        <v>1280</v>
      </c>
    </row>
    <row r="193" spans="2:5" ht="15.75" x14ac:dyDescent="0.25">
      <c r="B193" s="71"/>
      <c r="C193" s="95" t="s">
        <v>69</v>
      </c>
      <c r="D193" s="96" t="s">
        <v>0</v>
      </c>
      <c r="E193" s="104">
        <f>0.25*E191</f>
        <v>0.8</v>
      </c>
    </row>
    <row r="194" spans="2:5" ht="15.75" x14ac:dyDescent="0.25">
      <c r="B194" s="71">
        <v>39</v>
      </c>
      <c r="C194" s="110" t="s">
        <v>792</v>
      </c>
      <c r="D194" s="111" t="s">
        <v>0</v>
      </c>
      <c r="E194" s="111">
        <v>2.8</v>
      </c>
    </row>
    <row r="195" spans="2:5" ht="17.25" customHeight="1" x14ac:dyDescent="0.25">
      <c r="B195" s="71"/>
      <c r="C195" s="96" t="s">
        <v>132</v>
      </c>
      <c r="D195" s="96" t="s">
        <v>0</v>
      </c>
      <c r="E195" s="96">
        <f>1.015*E194</f>
        <v>2.8419999999999996</v>
      </c>
    </row>
    <row r="196" spans="2:5" ht="15.75" x14ac:dyDescent="0.25">
      <c r="B196" s="71">
        <v>40</v>
      </c>
      <c r="C196" s="110" t="s">
        <v>795</v>
      </c>
      <c r="D196" s="111" t="s">
        <v>0</v>
      </c>
      <c r="E196" s="111">
        <v>0.4</v>
      </c>
    </row>
    <row r="197" spans="2:5" ht="17.25" customHeight="1" x14ac:dyDescent="0.25">
      <c r="B197" s="71"/>
      <c r="C197" s="96" t="s">
        <v>133</v>
      </c>
      <c r="D197" s="96" t="s">
        <v>0</v>
      </c>
      <c r="E197" s="96">
        <f>1.01*0.4</f>
        <v>0.40400000000000003</v>
      </c>
    </row>
    <row r="198" spans="2:5" ht="15.75" x14ac:dyDescent="0.25">
      <c r="B198" s="71"/>
      <c r="C198" s="95" t="s">
        <v>61</v>
      </c>
      <c r="D198" s="96" t="s">
        <v>6</v>
      </c>
      <c r="E198" s="103">
        <f>30*E196</f>
        <v>12</v>
      </c>
    </row>
    <row r="199" spans="2:5" ht="31.5" x14ac:dyDescent="0.25">
      <c r="B199" s="71">
        <v>41</v>
      </c>
      <c r="C199" s="110" t="s">
        <v>149</v>
      </c>
      <c r="D199" s="111" t="s">
        <v>15</v>
      </c>
      <c r="E199" s="111">
        <v>0.32</v>
      </c>
    </row>
    <row r="200" spans="2:5" ht="17.25" customHeight="1" x14ac:dyDescent="0.25">
      <c r="B200" s="71"/>
      <c r="C200" s="96" t="s">
        <v>134</v>
      </c>
      <c r="D200" s="96" t="s">
        <v>1</v>
      </c>
      <c r="E200" s="96">
        <f>0.32*1.4*1.26</f>
        <v>0.56447999999999998</v>
      </c>
    </row>
    <row r="201" spans="2:5" ht="17.25" customHeight="1" x14ac:dyDescent="0.25">
      <c r="B201" s="71"/>
      <c r="C201" s="96" t="s">
        <v>2</v>
      </c>
      <c r="D201" s="96" t="s">
        <v>1</v>
      </c>
      <c r="E201" s="101">
        <f>(17.28+7.4+11.72+8.64+3.29)*1.01/1000</f>
        <v>4.8813299999999997E-2</v>
      </c>
    </row>
    <row r="202" spans="2:5" ht="17.25" customHeight="1" x14ac:dyDescent="0.25">
      <c r="B202" s="71"/>
      <c r="C202" s="96" t="s">
        <v>3</v>
      </c>
      <c r="D202" s="96" t="s">
        <v>1</v>
      </c>
      <c r="E202" s="101">
        <f>(5.35+8.08+0.45+3+4.2+2.36)*1.01/1000</f>
        <v>2.3674399999999998E-2</v>
      </c>
    </row>
    <row r="203" spans="2:5" ht="17.25" customHeight="1" x14ac:dyDescent="0.25">
      <c r="B203" s="71"/>
      <c r="C203" s="96" t="s">
        <v>135</v>
      </c>
      <c r="D203" s="96" t="s">
        <v>1</v>
      </c>
      <c r="E203" s="101">
        <f>(3.35+2.97)*1.01/1000</f>
        <v>6.3832000000000003E-3</v>
      </c>
    </row>
    <row r="204" spans="2:5" ht="17.25" customHeight="1" x14ac:dyDescent="0.25">
      <c r="B204" s="71"/>
      <c r="C204" s="96" t="s">
        <v>4</v>
      </c>
      <c r="D204" s="96" t="s">
        <v>1</v>
      </c>
      <c r="E204" s="101">
        <f>(5.25+1.2)*1.01/1000</f>
        <v>6.5145000000000003E-3</v>
      </c>
    </row>
    <row r="205" spans="2:5" ht="17.25" customHeight="1" x14ac:dyDescent="0.25">
      <c r="B205" s="71"/>
      <c r="C205" s="96" t="s">
        <v>136</v>
      </c>
      <c r="D205" s="96" t="s">
        <v>8</v>
      </c>
      <c r="E205" s="96">
        <v>5</v>
      </c>
    </row>
    <row r="206" spans="2:5" ht="17.25" customHeight="1" x14ac:dyDescent="0.25">
      <c r="B206" s="71"/>
      <c r="C206" s="96" t="s">
        <v>137</v>
      </c>
      <c r="D206" s="96" t="s">
        <v>8</v>
      </c>
      <c r="E206" s="96">
        <v>3</v>
      </c>
    </row>
    <row r="207" spans="2:5" ht="17.25" customHeight="1" x14ac:dyDescent="0.25">
      <c r="B207" s="71"/>
      <c r="C207" s="96" t="s">
        <v>138</v>
      </c>
      <c r="D207" s="96" t="s">
        <v>8</v>
      </c>
      <c r="E207" s="96">
        <v>1</v>
      </c>
    </row>
    <row r="208" spans="2:5" ht="17.25" customHeight="1" x14ac:dyDescent="0.25">
      <c r="B208" s="71"/>
      <c r="C208" s="96" t="s">
        <v>139</v>
      </c>
      <c r="D208" s="96" t="s">
        <v>8</v>
      </c>
      <c r="E208" s="96">
        <v>15</v>
      </c>
    </row>
    <row r="209" spans="2:5" ht="17.25" customHeight="1" x14ac:dyDescent="0.25">
      <c r="B209" s="71"/>
      <c r="C209" s="96" t="s">
        <v>140</v>
      </c>
      <c r="D209" s="96" t="s">
        <v>8</v>
      </c>
      <c r="E209" s="96">
        <v>6</v>
      </c>
    </row>
    <row r="210" spans="2:5" ht="15.75" x14ac:dyDescent="0.25">
      <c r="B210" s="71">
        <v>42</v>
      </c>
      <c r="C210" s="110" t="s">
        <v>798</v>
      </c>
      <c r="D210" s="111" t="s">
        <v>1</v>
      </c>
      <c r="E210" s="112">
        <f>E211+E212</f>
        <v>0.48730329999999999</v>
      </c>
    </row>
    <row r="211" spans="2:5" ht="17.25" customHeight="1" x14ac:dyDescent="0.25">
      <c r="B211" s="71"/>
      <c r="C211" s="96" t="s">
        <v>141</v>
      </c>
      <c r="D211" s="96" t="s">
        <v>1</v>
      </c>
      <c r="E211" s="101">
        <f>1.03*(239.04+123.58+43.29+11.45+30.08+5.24+10.16)/1000</f>
        <v>0.47672520000000002</v>
      </c>
    </row>
    <row r="212" spans="2:5" ht="17.25" customHeight="1" x14ac:dyDescent="0.25">
      <c r="B212" s="71"/>
      <c r="C212" s="96" t="s">
        <v>142</v>
      </c>
      <c r="D212" s="96" t="s">
        <v>1</v>
      </c>
      <c r="E212" s="101">
        <f>1.03*(3.73+6.54)/1000</f>
        <v>1.05781E-2</v>
      </c>
    </row>
    <row r="213" spans="2:5" s="102" customFormat="1" ht="15.75" x14ac:dyDescent="0.25">
      <c r="B213" s="71"/>
      <c r="C213" s="94" t="s">
        <v>156</v>
      </c>
      <c r="D213" s="96" t="s">
        <v>6</v>
      </c>
      <c r="E213" s="106">
        <f>E210*2.5%*1000</f>
        <v>12.182582500000001</v>
      </c>
    </row>
    <row r="214" spans="2:5" s="115" customFormat="1" ht="15.75" x14ac:dyDescent="0.25">
      <c r="B214" s="71"/>
      <c r="C214" s="97" t="s">
        <v>868</v>
      </c>
      <c r="D214" s="97"/>
      <c r="E214" s="97"/>
    </row>
    <row r="215" spans="2:5" s="115" customFormat="1" ht="31.5" x14ac:dyDescent="0.2">
      <c r="B215" s="71">
        <v>43</v>
      </c>
      <c r="C215" s="110" t="s">
        <v>799</v>
      </c>
      <c r="D215" s="111" t="s">
        <v>7</v>
      </c>
      <c r="E215" s="118">
        <f>35*8.729</f>
        <v>305.51499999999999</v>
      </c>
    </row>
    <row r="216" spans="2:5" s="115" customFormat="1" ht="17.25" customHeight="1" x14ac:dyDescent="0.2">
      <c r="B216" s="71"/>
      <c r="C216" s="116" t="s">
        <v>158</v>
      </c>
      <c r="D216" s="117" t="s">
        <v>53</v>
      </c>
      <c r="E216" s="119">
        <f>0.2*E215</f>
        <v>61.103000000000002</v>
      </c>
    </row>
    <row r="217" spans="2:5" s="115" customFormat="1" ht="31.5" x14ac:dyDescent="0.2">
      <c r="B217" s="71">
        <v>44</v>
      </c>
      <c r="C217" s="110" t="s">
        <v>800</v>
      </c>
      <c r="D217" s="111" t="s">
        <v>7</v>
      </c>
      <c r="E217" s="118">
        <f>E215</f>
        <v>305.51499999999999</v>
      </c>
    </row>
    <row r="218" spans="2:5" s="115" customFormat="1" ht="17.25" customHeight="1" x14ac:dyDescent="0.2">
      <c r="B218" s="71"/>
      <c r="C218" s="116" t="s">
        <v>155</v>
      </c>
      <c r="D218" s="117" t="s">
        <v>53</v>
      </c>
      <c r="E218" s="119">
        <f>(E216+E219)*0.1</f>
        <v>21.386050000000001</v>
      </c>
    </row>
    <row r="219" spans="2:5" s="115" customFormat="1" ht="17.25" customHeight="1" x14ac:dyDescent="0.2">
      <c r="B219" s="71"/>
      <c r="C219" s="116" t="s">
        <v>160</v>
      </c>
      <c r="D219" s="117" t="s">
        <v>53</v>
      </c>
      <c r="E219" s="119">
        <f>0.5*E217</f>
        <v>152.75749999999999</v>
      </c>
    </row>
  </sheetData>
  <mergeCells count="6">
    <mergeCell ref="C1:E1"/>
    <mergeCell ref="B3:B4"/>
    <mergeCell ref="C2:E2"/>
    <mergeCell ref="D3:D4"/>
    <mergeCell ref="E3:E4"/>
    <mergeCell ref="C3:C4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17"/>
  <sheetViews>
    <sheetView zoomScaleNormal="100" workbookViewId="0">
      <pane ySplit="4" topLeftCell="A5" activePane="bottomLeft" state="frozen"/>
      <selection pane="bottomLeft" activeCell="B3" sqref="B3:B4"/>
    </sheetView>
  </sheetViews>
  <sheetFormatPr defaultRowHeight="15" x14ac:dyDescent="0.25"/>
  <cols>
    <col min="1" max="1" width="2.85546875" style="123" customWidth="1"/>
    <col min="2" max="2" width="37" style="139" customWidth="1"/>
    <col min="3" max="3" width="8.85546875" style="139" customWidth="1"/>
    <col min="4" max="4" width="9.85546875" style="139" bestFit="1" customWidth="1"/>
    <col min="5" max="243" width="9.140625" style="123"/>
    <col min="244" max="244" width="2.85546875" style="123" customWidth="1"/>
    <col min="245" max="245" width="33.28515625" style="123" customWidth="1"/>
    <col min="246" max="246" width="8.85546875" style="123" customWidth="1"/>
    <col min="247" max="499" width="9.140625" style="123"/>
    <col min="500" max="500" width="2.85546875" style="123" customWidth="1"/>
    <col min="501" max="501" width="33.28515625" style="123" customWidth="1"/>
    <col min="502" max="502" width="8.85546875" style="123" customWidth="1"/>
    <col min="503" max="755" width="9.140625" style="123"/>
    <col min="756" max="756" width="2.85546875" style="123" customWidth="1"/>
    <col min="757" max="757" width="33.28515625" style="123" customWidth="1"/>
    <col min="758" max="758" width="8.85546875" style="123" customWidth="1"/>
    <col min="759" max="1011" width="9.140625" style="123"/>
    <col min="1012" max="1012" width="2.85546875" style="123" customWidth="1"/>
    <col min="1013" max="1013" width="33.28515625" style="123" customWidth="1"/>
    <col min="1014" max="1014" width="8.85546875" style="123" customWidth="1"/>
    <col min="1015" max="1267" width="9.140625" style="123"/>
    <col min="1268" max="1268" width="2.85546875" style="123" customWidth="1"/>
    <col min="1269" max="1269" width="33.28515625" style="123" customWidth="1"/>
    <col min="1270" max="1270" width="8.85546875" style="123" customWidth="1"/>
    <col min="1271" max="1523" width="9.140625" style="123"/>
    <col min="1524" max="1524" width="2.85546875" style="123" customWidth="1"/>
    <col min="1525" max="1525" width="33.28515625" style="123" customWidth="1"/>
    <col min="1526" max="1526" width="8.85546875" style="123" customWidth="1"/>
    <col min="1527" max="1779" width="9.140625" style="123"/>
    <col min="1780" max="1780" width="2.85546875" style="123" customWidth="1"/>
    <col min="1781" max="1781" width="33.28515625" style="123" customWidth="1"/>
    <col min="1782" max="1782" width="8.85546875" style="123" customWidth="1"/>
    <col min="1783" max="2035" width="9.140625" style="123"/>
    <col min="2036" max="2036" width="2.85546875" style="123" customWidth="1"/>
    <col min="2037" max="2037" width="33.28515625" style="123" customWidth="1"/>
    <col min="2038" max="2038" width="8.85546875" style="123" customWidth="1"/>
    <col min="2039" max="2291" width="9.140625" style="123"/>
    <col min="2292" max="2292" width="2.85546875" style="123" customWidth="1"/>
    <col min="2293" max="2293" width="33.28515625" style="123" customWidth="1"/>
    <col min="2294" max="2294" width="8.85546875" style="123" customWidth="1"/>
    <col min="2295" max="2547" width="9.140625" style="123"/>
    <col min="2548" max="2548" width="2.85546875" style="123" customWidth="1"/>
    <col min="2549" max="2549" width="33.28515625" style="123" customWidth="1"/>
    <col min="2550" max="2550" width="8.85546875" style="123" customWidth="1"/>
    <col min="2551" max="2803" width="9.140625" style="123"/>
    <col min="2804" max="2804" width="2.85546875" style="123" customWidth="1"/>
    <col min="2805" max="2805" width="33.28515625" style="123" customWidth="1"/>
    <col min="2806" max="2806" width="8.85546875" style="123" customWidth="1"/>
    <col min="2807" max="3059" width="9.140625" style="123"/>
    <col min="3060" max="3060" width="2.85546875" style="123" customWidth="1"/>
    <col min="3061" max="3061" width="33.28515625" style="123" customWidth="1"/>
    <col min="3062" max="3062" width="8.85546875" style="123" customWidth="1"/>
    <col min="3063" max="3315" width="9.140625" style="123"/>
    <col min="3316" max="3316" width="2.85546875" style="123" customWidth="1"/>
    <col min="3317" max="3317" width="33.28515625" style="123" customWidth="1"/>
    <col min="3318" max="3318" width="8.85546875" style="123" customWidth="1"/>
    <col min="3319" max="3571" width="9.140625" style="123"/>
    <col min="3572" max="3572" width="2.85546875" style="123" customWidth="1"/>
    <col min="3573" max="3573" width="33.28515625" style="123" customWidth="1"/>
    <col min="3574" max="3574" width="8.85546875" style="123" customWidth="1"/>
    <col min="3575" max="3827" width="9.140625" style="123"/>
    <col min="3828" max="3828" width="2.85546875" style="123" customWidth="1"/>
    <col min="3829" max="3829" width="33.28515625" style="123" customWidth="1"/>
    <col min="3830" max="3830" width="8.85546875" style="123" customWidth="1"/>
    <col min="3831" max="4083" width="9.140625" style="123"/>
    <col min="4084" max="4084" width="2.85546875" style="123" customWidth="1"/>
    <col min="4085" max="4085" width="33.28515625" style="123" customWidth="1"/>
    <col min="4086" max="4086" width="8.85546875" style="123" customWidth="1"/>
    <col min="4087" max="4339" width="9.140625" style="123"/>
    <col min="4340" max="4340" width="2.85546875" style="123" customWidth="1"/>
    <col min="4341" max="4341" width="33.28515625" style="123" customWidth="1"/>
    <col min="4342" max="4342" width="8.85546875" style="123" customWidth="1"/>
    <col min="4343" max="4595" width="9.140625" style="123"/>
    <col min="4596" max="4596" width="2.85546875" style="123" customWidth="1"/>
    <col min="4597" max="4597" width="33.28515625" style="123" customWidth="1"/>
    <col min="4598" max="4598" width="8.85546875" style="123" customWidth="1"/>
    <col min="4599" max="4851" width="9.140625" style="123"/>
    <col min="4852" max="4852" width="2.85546875" style="123" customWidth="1"/>
    <col min="4853" max="4853" width="33.28515625" style="123" customWidth="1"/>
    <col min="4854" max="4854" width="8.85546875" style="123" customWidth="1"/>
    <col min="4855" max="5107" width="9.140625" style="123"/>
    <col min="5108" max="5108" width="2.85546875" style="123" customWidth="1"/>
    <col min="5109" max="5109" width="33.28515625" style="123" customWidth="1"/>
    <col min="5110" max="5110" width="8.85546875" style="123" customWidth="1"/>
    <col min="5111" max="5363" width="9.140625" style="123"/>
    <col min="5364" max="5364" width="2.85546875" style="123" customWidth="1"/>
    <col min="5365" max="5365" width="33.28515625" style="123" customWidth="1"/>
    <col min="5366" max="5366" width="8.85546875" style="123" customWidth="1"/>
    <col min="5367" max="5619" width="9.140625" style="123"/>
    <col min="5620" max="5620" width="2.85546875" style="123" customWidth="1"/>
    <col min="5621" max="5621" width="33.28515625" style="123" customWidth="1"/>
    <col min="5622" max="5622" width="8.85546875" style="123" customWidth="1"/>
    <col min="5623" max="5875" width="9.140625" style="123"/>
    <col min="5876" max="5876" width="2.85546875" style="123" customWidth="1"/>
    <col min="5877" max="5877" width="33.28515625" style="123" customWidth="1"/>
    <col min="5878" max="5878" width="8.85546875" style="123" customWidth="1"/>
    <col min="5879" max="6131" width="9.140625" style="123"/>
    <col min="6132" max="6132" width="2.85546875" style="123" customWidth="1"/>
    <col min="6133" max="6133" width="33.28515625" style="123" customWidth="1"/>
    <col min="6134" max="6134" width="8.85546875" style="123" customWidth="1"/>
    <col min="6135" max="6387" width="9.140625" style="123"/>
    <col min="6388" max="6388" width="2.85546875" style="123" customWidth="1"/>
    <col min="6389" max="6389" width="33.28515625" style="123" customWidth="1"/>
    <col min="6390" max="6390" width="8.85546875" style="123" customWidth="1"/>
    <col min="6391" max="6643" width="9.140625" style="123"/>
    <col min="6644" max="6644" width="2.85546875" style="123" customWidth="1"/>
    <col min="6645" max="6645" width="33.28515625" style="123" customWidth="1"/>
    <col min="6646" max="6646" width="8.85546875" style="123" customWidth="1"/>
    <col min="6647" max="6899" width="9.140625" style="123"/>
    <col min="6900" max="6900" width="2.85546875" style="123" customWidth="1"/>
    <col min="6901" max="6901" width="33.28515625" style="123" customWidth="1"/>
    <col min="6902" max="6902" width="8.85546875" style="123" customWidth="1"/>
    <col min="6903" max="7155" width="9.140625" style="123"/>
    <col min="7156" max="7156" width="2.85546875" style="123" customWidth="1"/>
    <col min="7157" max="7157" width="33.28515625" style="123" customWidth="1"/>
    <col min="7158" max="7158" width="8.85546875" style="123" customWidth="1"/>
    <col min="7159" max="7411" width="9.140625" style="123"/>
    <col min="7412" max="7412" width="2.85546875" style="123" customWidth="1"/>
    <col min="7413" max="7413" width="33.28515625" style="123" customWidth="1"/>
    <col min="7414" max="7414" width="8.85546875" style="123" customWidth="1"/>
    <col min="7415" max="7667" width="9.140625" style="123"/>
    <col min="7668" max="7668" width="2.85546875" style="123" customWidth="1"/>
    <col min="7669" max="7669" width="33.28515625" style="123" customWidth="1"/>
    <col min="7670" max="7670" width="8.85546875" style="123" customWidth="1"/>
    <col min="7671" max="7923" width="9.140625" style="123"/>
    <col min="7924" max="7924" width="2.85546875" style="123" customWidth="1"/>
    <col min="7925" max="7925" width="33.28515625" style="123" customWidth="1"/>
    <col min="7926" max="7926" width="8.85546875" style="123" customWidth="1"/>
    <col min="7927" max="8179" width="9.140625" style="123"/>
    <col min="8180" max="8180" width="2.85546875" style="123" customWidth="1"/>
    <col min="8181" max="8181" width="33.28515625" style="123" customWidth="1"/>
    <col min="8182" max="8182" width="8.85546875" style="123" customWidth="1"/>
    <col min="8183" max="8435" width="9.140625" style="123"/>
    <col min="8436" max="8436" width="2.85546875" style="123" customWidth="1"/>
    <col min="8437" max="8437" width="33.28515625" style="123" customWidth="1"/>
    <col min="8438" max="8438" width="8.85546875" style="123" customWidth="1"/>
    <col min="8439" max="8691" width="9.140625" style="123"/>
    <col min="8692" max="8692" width="2.85546875" style="123" customWidth="1"/>
    <col min="8693" max="8693" width="33.28515625" style="123" customWidth="1"/>
    <col min="8694" max="8694" width="8.85546875" style="123" customWidth="1"/>
    <col min="8695" max="8947" width="9.140625" style="123"/>
    <col min="8948" max="8948" width="2.85546875" style="123" customWidth="1"/>
    <col min="8949" max="8949" width="33.28515625" style="123" customWidth="1"/>
    <col min="8950" max="8950" width="8.85546875" style="123" customWidth="1"/>
    <col min="8951" max="9203" width="9.140625" style="123"/>
    <col min="9204" max="9204" width="2.85546875" style="123" customWidth="1"/>
    <col min="9205" max="9205" width="33.28515625" style="123" customWidth="1"/>
    <col min="9206" max="9206" width="8.85546875" style="123" customWidth="1"/>
    <col min="9207" max="9459" width="9.140625" style="123"/>
    <col min="9460" max="9460" width="2.85546875" style="123" customWidth="1"/>
    <col min="9461" max="9461" width="33.28515625" style="123" customWidth="1"/>
    <col min="9462" max="9462" width="8.85546875" style="123" customWidth="1"/>
    <col min="9463" max="9715" width="9.140625" style="123"/>
    <col min="9716" max="9716" width="2.85546875" style="123" customWidth="1"/>
    <col min="9717" max="9717" width="33.28515625" style="123" customWidth="1"/>
    <col min="9718" max="9718" width="8.85546875" style="123" customWidth="1"/>
    <col min="9719" max="9971" width="9.140625" style="123"/>
    <col min="9972" max="9972" width="2.85546875" style="123" customWidth="1"/>
    <col min="9973" max="9973" width="33.28515625" style="123" customWidth="1"/>
    <col min="9974" max="9974" width="8.85546875" style="123" customWidth="1"/>
    <col min="9975" max="10227" width="9.140625" style="123"/>
    <col min="10228" max="10228" width="2.85546875" style="123" customWidth="1"/>
    <col min="10229" max="10229" width="33.28515625" style="123" customWidth="1"/>
    <col min="10230" max="10230" width="8.85546875" style="123" customWidth="1"/>
    <col min="10231" max="10483" width="9.140625" style="123"/>
    <col min="10484" max="10484" width="2.85546875" style="123" customWidth="1"/>
    <col min="10485" max="10485" width="33.28515625" style="123" customWidth="1"/>
    <col min="10486" max="10486" width="8.85546875" style="123" customWidth="1"/>
    <col min="10487" max="10739" width="9.140625" style="123"/>
    <col min="10740" max="10740" width="2.85546875" style="123" customWidth="1"/>
    <col min="10741" max="10741" width="33.28515625" style="123" customWidth="1"/>
    <col min="10742" max="10742" width="8.85546875" style="123" customWidth="1"/>
    <col min="10743" max="10995" width="9.140625" style="123"/>
    <col min="10996" max="10996" width="2.85546875" style="123" customWidth="1"/>
    <col min="10997" max="10997" width="33.28515625" style="123" customWidth="1"/>
    <col min="10998" max="10998" width="8.85546875" style="123" customWidth="1"/>
    <col min="10999" max="11251" width="9.140625" style="123"/>
    <col min="11252" max="11252" width="2.85546875" style="123" customWidth="1"/>
    <col min="11253" max="11253" width="33.28515625" style="123" customWidth="1"/>
    <col min="11254" max="11254" width="8.85546875" style="123" customWidth="1"/>
    <col min="11255" max="11507" width="9.140625" style="123"/>
    <col min="11508" max="11508" width="2.85546875" style="123" customWidth="1"/>
    <col min="11509" max="11509" width="33.28515625" style="123" customWidth="1"/>
    <col min="11510" max="11510" width="8.85546875" style="123" customWidth="1"/>
    <col min="11511" max="11763" width="9.140625" style="123"/>
    <col min="11764" max="11764" width="2.85546875" style="123" customWidth="1"/>
    <col min="11765" max="11765" width="33.28515625" style="123" customWidth="1"/>
    <col min="11766" max="11766" width="8.85546875" style="123" customWidth="1"/>
    <col min="11767" max="12019" width="9.140625" style="123"/>
    <col min="12020" max="12020" width="2.85546875" style="123" customWidth="1"/>
    <col min="12021" max="12021" width="33.28515625" style="123" customWidth="1"/>
    <col min="12022" max="12022" width="8.85546875" style="123" customWidth="1"/>
    <col min="12023" max="12275" width="9.140625" style="123"/>
    <col min="12276" max="12276" width="2.85546875" style="123" customWidth="1"/>
    <col min="12277" max="12277" width="33.28515625" style="123" customWidth="1"/>
    <col min="12278" max="12278" width="8.85546875" style="123" customWidth="1"/>
    <col min="12279" max="12531" width="9.140625" style="123"/>
    <col min="12532" max="12532" width="2.85546875" style="123" customWidth="1"/>
    <col min="12533" max="12533" width="33.28515625" style="123" customWidth="1"/>
    <col min="12534" max="12534" width="8.85546875" style="123" customWidth="1"/>
    <col min="12535" max="12787" width="9.140625" style="123"/>
    <col min="12788" max="12788" width="2.85546875" style="123" customWidth="1"/>
    <col min="12789" max="12789" width="33.28515625" style="123" customWidth="1"/>
    <col min="12790" max="12790" width="8.85546875" style="123" customWidth="1"/>
    <col min="12791" max="13043" width="9.140625" style="123"/>
    <col min="13044" max="13044" width="2.85546875" style="123" customWidth="1"/>
    <col min="13045" max="13045" width="33.28515625" style="123" customWidth="1"/>
    <col min="13046" max="13046" width="8.85546875" style="123" customWidth="1"/>
    <col min="13047" max="13299" width="9.140625" style="123"/>
    <col min="13300" max="13300" width="2.85546875" style="123" customWidth="1"/>
    <col min="13301" max="13301" width="33.28515625" style="123" customWidth="1"/>
    <col min="13302" max="13302" width="8.85546875" style="123" customWidth="1"/>
    <col min="13303" max="13555" width="9.140625" style="123"/>
    <col min="13556" max="13556" width="2.85546875" style="123" customWidth="1"/>
    <col min="13557" max="13557" width="33.28515625" style="123" customWidth="1"/>
    <col min="13558" max="13558" width="8.85546875" style="123" customWidth="1"/>
    <col min="13559" max="13811" width="9.140625" style="123"/>
    <col min="13812" max="13812" width="2.85546875" style="123" customWidth="1"/>
    <col min="13813" max="13813" width="33.28515625" style="123" customWidth="1"/>
    <col min="13814" max="13814" width="8.85546875" style="123" customWidth="1"/>
    <col min="13815" max="14067" width="9.140625" style="123"/>
    <col min="14068" max="14068" width="2.85546875" style="123" customWidth="1"/>
    <col min="14069" max="14069" width="33.28515625" style="123" customWidth="1"/>
    <col min="14070" max="14070" width="8.85546875" style="123" customWidth="1"/>
    <col min="14071" max="14323" width="9.140625" style="123"/>
    <col min="14324" max="14324" width="2.85546875" style="123" customWidth="1"/>
    <col min="14325" max="14325" width="33.28515625" style="123" customWidth="1"/>
    <col min="14326" max="14326" width="8.85546875" style="123" customWidth="1"/>
    <col min="14327" max="14579" width="9.140625" style="123"/>
    <col min="14580" max="14580" width="2.85546875" style="123" customWidth="1"/>
    <col min="14581" max="14581" width="33.28515625" style="123" customWidth="1"/>
    <col min="14582" max="14582" width="8.85546875" style="123" customWidth="1"/>
    <col min="14583" max="14835" width="9.140625" style="123"/>
    <col min="14836" max="14836" width="2.85546875" style="123" customWidth="1"/>
    <col min="14837" max="14837" width="33.28515625" style="123" customWidth="1"/>
    <col min="14838" max="14838" width="8.85546875" style="123" customWidth="1"/>
    <col min="14839" max="15091" width="9.140625" style="123"/>
    <col min="15092" max="15092" width="2.85546875" style="123" customWidth="1"/>
    <col min="15093" max="15093" width="33.28515625" style="123" customWidth="1"/>
    <col min="15094" max="15094" width="8.85546875" style="123" customWidth="1"/>
    <col min="15095" max="15347" width="9.140625" style="123"/>
    <col min="15348" max="15348" width="2.85546875" style="123" customWidth="1"/>
    <col min="15349" max="15349" width="33.28515625" style="123" customWidth="1"/>
    <col min="15350" max="15350" width="8.85546875" style="123" customWidth="1"/>
    <col min="15351" max="15603" width="9.140625" style="123"/>
    <col min="15604" max="15604" width="2.85546875" style="123" customWidth="1"/>
    <col min="15605" max="15605" width="33.28515625" style="123" customWidth="1"/>
    <col min="15606" max="15606" width="8.85546875" style="123" customWidth="1"/>
    <col min="15607" max="15859" width="9.140625" style="123"/>
    <col min="15860" max="15860" width="2.85546875" style="123" customWidth="1"/>
    <col min="15861" max="15861" width="33.28515625" style="123" customWidth="1"/>
    <col min="15862" max="15862" width="8.85546875" style="123" customWidth="1"/>
    <col min="15863" max="16115" width="9.140625" style="123"/>
    <col min="16116" max="16116" width="2.85546875" style="123" customWidth="1"/>
    <col min="16117" max="16117" width="33.28515625" style="123" customWidth="1"/>
    <col min="16118" max="16118" width="8.85546875" style="123" customWidth="1"/>
    <col min="16119" max="16384" width="9.140625" style="123"/>
  </cols>
  <sheetData>
    <row r="1" spans="1:4" s="122" customFormat="1" ht="57.75" customHeight="1" x14ac:dyDescent="0.25">
      <c r="B1" s="318" t="s">
        <v>56</v>
      </c>
      <c r="C1" s="318"/>
      <c r="D1" s="318"/>
    </row>
    <row r="2" spans="1:4" s="122" customFormat="1" ht="26.25" customHeight="1" thickBot="1" x14ac:dyDescent="0.3">
      <c r="B2" s="319" t="s">
        <v>873</v>
      </c>
      <c r="C2" s="319"/>
      <c r="D2" s="319"/>
    </row>
    <row r="3" spans="1:4" x14ac:dyDescent="0.25">
      <c r="B3" s="324" t="s">
        <v>12</v>
      </c>
      <c r="C3" s="320" t="s">
        <v>57</v>
      </c>
      <c r="D3" s="322" t="s">
        <v>58</v>
      </c>
    </row>
    <row r="4" spans="1:4" ht="15.75" thickBot="1" x14ac:dyDescent="0.3">
      <c r="B4" s="325"/>
      <c r="C4" s="321"/>
      <c r="D4" s="323"/>
    </row>
    <row r="5" spans="1:4" ht="31.5" x14ac:dyDescent="0.25">
      <c r="B5" s="124" t="s">
        <v>820</v>
      </c>
      <c r="C5" s="125" t="s">
        <v>144</v>
      </c>
      <c r="D5" s="125">
        <v>285</v>
      </c>
    </row>
    <row r="6" spans="1:4" ht="15.75" x14ac:dyDescent="0.25">
      <c r="B6" s="126" t="s">
        <v>120</v>
      </c>
      <c r="C6" s="127" t="s">
        <v>51</v>
      </c>
      <c r="D6" s="127">
        <v>285</v>
      </c>
    </row>
    <row r="7" spans="1:4" ht="15.75" x14ac:dyDescent="0.25">
      <c r="B7" s="126" t="s">
        <v>121</v>
      </c>
      <c r="C7" s="127" t="s">
        <v>8</v>
      </c>
      <c r="D7" s="127">
        <v>66</v>
      </c>
    </row>
    <row r="8" spans="1:4" ht="15.75" x14ac:dyDescent="0.25">
      <c r="B8" s="126" t="s">
        <v>95</v>
      </c>
      <c r="C8" s="127" t="s">
        <v>1</v>
      </c>
      <c r="D8" s="127">
        <f>(0.06*16+0.06*20+0.06*6+0.06*9+0.12*3+0.06*9)*1.01/1000</f>
        <v>3.9995999999999999E-3</v>
      </c>
    </row>
    <row r="9" spans="1:4" s="132" customFormat="1" ht="17.25" customHeight="1" x14ac:dyDescent="0.2">
      <c r="A9" s="142"/>
      <c r="B9" s="143" t="s">
        <v>768</v>
      </c>
      <c r="C9" s="144" t="s">
        <v>7</v>
      </c>
      <c r="D9" s="144">
        <v>227.44</v>
      </c>
    </row>
    <row r="10" spans="1:4" s="132" customFormat="1" ht="17.25" customHeight="1" x14ac:dyDescent="0.25">
      <c r="A10" s="140"/>
      <c r="B10" s="126" t="s">
        <v>769</v>
      </c>
      <c r="C10" s="127" t="s">
        <v>7</v>
      </c>
      <c r="D10" s="127">
        <f>D9</f>
        <v>227.44</v>
      </c>
    </row>
    <row r="11" spans="1:4" s="132" customFormat="1" ht="47.25" x14ac:dyDescent="0.2">
      <c r="A11" s="141"/>
      <c r="B11" s="143" t="s">
        <v>813</v>
      </c>
      <c r="C11" s="144" t="s">
        <v>144</v>
      </c>
      <c r="D11" s="144">
        <v>100</v>
      </c>
    </row>
    <row r="12" spans="1:4" s="132" customFormat="1" ht="17.25" customHeight="1" x14ac:dyDescent="0.25">
      <c r="B12" s="138"/>
      <c r="C12" s="138"/>
      <c r="D12" s="138"/>
    </row>
    <row r="13" spans="1:4" s="132" customFormat="1" ht="17.25" customHeight="1" x14ac:dyDescent="0.25">
      <c r="B13" s="138"/>
      <c r="C13" s="138"/>
      <c r="D13" s="138"/>
    </row>
    <row r="14" spans="1:4" s="132" customFormat="1" ht="17.25" customHeight="1" x14ac:dyDescent="0.25">
      <c r="B14" s="138"/>
      <c r="C14" s="138"/>
      <c r="D14" s="138"/>
    </row>
    <row r="15" spans="1:4" s="132" customFormat="1" ht="17.25" customHeight="1" x14ac:dyDescent="0.25">
      <c r="B15" s="138"/>
      <c r="C15" s="138"/>
      <c r="D15" s="138"/>
    </row>
    <row r="16" spans="1:4" s="132" customFormat="1" ht="17.25" customHeight="1" x14ac:dyDescent="0.25">
      <c r="B16" s="138"/>
      <c r="C16" s="138"/>
      <c r="D16" s="138"/>
    </row>
    <row r="17" spans="2:4" s="132" customFormat="1" ht="17.25" customHeight="1" x14ac:dyDescent="0.25">
      <c r="B17" s="138"/>
      <c r="C17" s="138"/>
      <c r="D17" s="138"/>
    </row>
  </sheetData>
  <mergeCells count="5">
    <mergeCell ref="B1:D1"/>
    <mergeCell ref="B2:D2"/>
    <mergeCell ref="C3:C4"/>
    <mergeCell ref="D3:D4"/>
    <mergeCell ref="B3:B4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F39"/>
  <sheetViews>
    <sheetView zoomScaleNormal="100" workbookViewId="0">
      <pane ySplit="4" topLeftCell="A5" activePane="bottomLeft" state="frozen"/>
      <selection pane="bottomLeft" activeCell="F11" sqref="F11"/>
    </sheetView>
  </sheetViews>
  <sheetFormatPr defaultRowHeight="15" x14ac:dyDescent="0.25"/>
  <cols>
    <col min="1" max="1" width="2.85546875" style="3" customWidth="1"/>
    <col min="2" max="2" width="35.5703125" style="152" customWidth="1"/>
    <col min="3" max="3" width="8.85546875" style="152" customWidth="1"/>
    <col min="4" max="4" width="9.5703125" style="152" bestFit="1" customWidth="1"/>
    <col min="5" max="250" width="9.140625" style="3"/>
    <col min="251" max="251" width="2.85546875" style="3" customWidth="1"/>
    <col min="252" max="252" width="33.28515625" style="3" customWidth="1"/>
    <col min="253" max="253" width="8.85546875" style="3" customWidth="1"/>
    <col min="254" max="506" width="9.140625" style="3"/>
    <col min="507" max="507" width="2.85546875" style="3" customWidth="1"/>
    <col min="508" max="508" width="33.28515625" style="3" customWidth="1"/>
    <col min="509" max="509" width="8.85546875" style="3" customWidth="1"/>
    <col min="510" max="762" width="9.140625" style="3"/>
    <col min="763" max="763" width="2.85546875" style="3" customWidth="1"/>
    <col min="764" max="764" width="33.28515625" style="3" customWidth="1"/>
    <col min="765" max="765" width="8.85546875" style="3" customWidth="1"/>
    <col min="766" max="1018" width="9.140625" style="3"/>
    <col min="1019" max="1019" width="2.85546875" style="3" customWidth="1"/>
    <col min="1020" max="1020" width="33.28515625" style="3" customWidth="1"/>
    <col min="1021" max="1021" width="8.85546875" style="3" customWidth="1"/>
    <col min="1022" max="1274" width="9.140625" style="3"/>
    <col min="1275" max="1275" width="2.85546875" style="3" customWidth="1"/>
    <col min="1276" max="1276" width="33.28515625" style="3" customWidth="1"/>
    <col min="1277" max="1277" width="8.85546875" style="3" customWidth="1"/>
    <col min="1278" max="1530" width="9.140625" style="3"/>
    <col min="1531" max="1531" width="2.85546875" style="3" customWidth="1"/>
    <col min="1532" max="1532" width="33.28515625" style="3" customWidth="1"/>
    <col min="1533" max="1533" width="8.85546875" style="3" customWidth="1"/>
    <col min="1534" max="1786" width="9.140625" style="3"/>
    <col min="1787" max="1787" width="2.85546875" style="3" customWidth="1"/>
    <col min="1788" max="1788" width="33.28515625" style="3" customWidth="1"/>
    <col min="1789" max="1789" width="8.85546875" style="3" customWidth="1"/>
    <col min="1790" max="2042" width="9.140625" style="3"/>
    <col min="2043" max="2043" width="2.85546875" style="3" customWidth="1"/>
    <col min="2044" max="2044" width="33.28515625" style="3" customWidth="1"/>
    <col min="2045" max="2045" width="8.85546875" style="3" customWidth="1"/>
    <col min="2046" max="2298" width="9.140625" style="3"/>
    <col min="2299" max="2299" width="2.85546875" style="3" customWidth="1"/>
    <col min="2300" max="2300" width="33.28515625" style="3" customWidth="1"/>
    <col min="2301" max="2301" width="8.85546875" style="3" customWidth="1"/>
    <col min="2302" max="2554" width="9.140625" style="3"/>
    <col min="2555" max="2555" width="2.85546875" style="3" customWidth="1"/>
    <col min="2556" max="2556" width="33.28515625" style="3" customWidth="1"/>
    <col min="2557" max="2557" width="8.85546875" style="3" customWidth="1"/>
    <col min="2558" max="2810" width="9.140625" style="3"/>
    <col min="2811" max="2811" width="2.85546875" style="3" customWidth="1"/>
    <col min="2812" max="2812" width="33.28515625" style="3" customWidth="1"/>
    <col min="2813" max="2813" width="8.85546875" style="3" customWidth="1"/>
    <col min="2814" max="3066" width="9.140625" style="3"/>
    <col min="3067" max="3067" width="2.85546875" style="3" customWidth="1"/>
    <col min="3068" max="3068" width="33.28515625" style="3" customWidth="1"/>
    <col min="3069" max="3069" width="8.85546875" style="3" customWidth="1"/>
    <col min="3070" max="3322" width="9.140625" style="3"/>
    <col min="3323" max="3323" width="2.85546875" style="3" customWidth="1"/>
    <col min="3324" max="3324" width="33.28515625" style="3" customWidth="1"/>
    <col min="3325" max="3325" width="8.85546875" style="3" customWidth="1"/>
    <col min="3326" max="3578" width="9.140625" style="3"/>
    <col min="3579" max="3579" width="2.85546875" style="3" customWidth="1"/>
    <col min="3580" max="3580" width="33.28515625" style="3" customWidth="1"/>
    <col min="3581" max="3581" width="8.85546875" style="3" customWidth="1"/>
    <col min="3582" max="3834" width="9.140625" style="3"/>
    <col min="3835" max="3835" width="2.85546875" style="3" customWidth="1"/>
    <col min="3836" max="3836" width="33.28515625" style="3" customWidth="1"/>
    <col min="3837" max="3837" width="8.85546875" style="3" customWidth="1"/>
    <col min="3838" max="4090" width="9.140625" style="3"/>
    <col min="4091" max="4091" width="2.85546875" style="3" customWidth="1"/>
    <col min="4092" max="4092" width="33.28515625" style="3" customWidth="1"/>
    <col min="4093" max="4093" width="8.85546875" style="3" customWidth="1"/>
    <col min="4094" max="4346" width="9.140625" style="3"/>
    <col min="4347" max="4347" width="2.85546875" style="3" customWidth="1"/>
    <col min="4348" max="4348" width="33.28515625" style="3" customWidth="1"/>
    <col min="4349" max="4349" width="8.85546875" style="3" customWidth="1"/>
    <col min="4350" max="4602" width="9.140625" style="3"/>
    <col min="4603" max="4603" width="2.85546875" style="3" customWidth="1"/>
    <col min="4604" max="4604" width="33.28515625" style="3" customWidth="1"/>
    <col min="4605" max="4605" width="8.85546875" style="3" customWidth="1"/>
    <col min="4606" max="4858" width="9.140625" style="3"/>
    <col min="4859" max="4859" width="2.85546875" style="3" customWidth="1"/>
    <col min="4860" max="4860" width="33.28515625" style="3" customWidth="1"/>
    <col min="4861" max="4861" width="8.85546875" style="3" customWidth="1"/>
    <col min="4862" max="5114" width="9.140625" style="3"/>
    <col min="5115" max="5115" width="2.85546875" style="3" customWidth="1"/>
    <col min="5116" max="5116" width="33.28515625" style="3" customWidth="1"/>
    <col min="5117" max="5117" width="8.85546875" style="3" customWidth="1"/>
    <col min="5118" max="5370" width="9.140625" style="3"/>
    <col min="5371" max="5371" width="2.85546875" style="3" customWidth="1"/>
    <col min="5372" max="5372" width="33.28515625" style="3" customWidth="1"/>
    <col min="5373" max="5373" width="8.85546875" style="3" customWidth="1"/>
    <col min="5374" max="5626" width="9.140625" style="3"/>
    <col min="5627" max="5627" width="2.85546875" style="3" customWidth="1"/>
    <col min="5628" max="5628" width="33.28515625" style="3" customWidth="1"/>
    <col min="5629" max="5629" width="8.85546875" style="3" customWidth="1"/>
    <col min="5630" max="5882" width="9.140625" style="3"/>
    <col min="5883" max="5883" width="2.85546875" style="3" customWidth="1"/>
    <col min="5884" max="5884" width="33.28515625" style="3" customWidth="1"/>
    <col min="5885" max="5885" width="8.85546875" style="3" customWidth="1"/>
    <col min="5886" max="6138" width="9.140625" style="3"/>
    <col min="6139" max="6139" width="2.85546875" style="3" customWidth="1"/>
    <col min="6140" max="6140" width="33.28515625" style="3" customWidth="1"/>
    <col min="6141" max="6141" width="8.85546875" style="3" customWidth="1"/>
    <col min="6142" max="6394" width="9.140625" style="3"/>
    <col min="6395" max="6395" width="2.85546875" style="3" customWidth="1"/>
    <col min="6396" max="6396" width="33.28515625" style="3" customWidth="1"/>
    <col min="6397" max="6397" width="8.85546875" style="3" customWidth="1"/>
    <col min="6398" max="6650" width="9.140625" style="3"/>
    <col min="6651" max="6651" width="2.85546875" style="3" customWidth="1"/>
    <col min="6652" max="6652" width="33.28515625" style="3" customWidth="1"/>
    <col min="6653" max="6653" width="8.85546875" style="3" customWidth="1"/>
    <col min="6654" max="6906" width="9.140625" style="3"/>
    <col min="6907" max="6907" width="2.85546875" style="3" customWidth="1"/>
    <col min="6908" max="6908" width="33.28515625" style="3" customWidth="1"/>
    <col min="6909" max="6909" width="8.85546875" style="3" customWidth="1"/>
    <col min="6910" max="7162" width="9.140625" style="3"/>
    <col min="7163" max="7163" width="2.85546875" style="3" customWidth="1"/>
    <col min="7164" max="7164" width="33.28515625" style="3" customWidth="1"/>
    <col min="7165" max="7165" width="8.85546875" style="3" customWidth="1"/>
    <col min="7166" max="7418" width="9.140625" style="3"/>
    <col min="7419" max="7419" width="2.85546875" style="3" customWidth="1"/>
    <col min="7420" max="7420" width="33.28515625" style="3" customWidth="1"/>
    <col min="7421" max="7421" width="8.85546875" style="3" customWidth="1"/>
    <col min="7422" max="7674" width="9.140625" style="3"/>
    <col min="7675" max="7675" width="2.85546875" style="3" customWidth="1"/>
    <col min="7676" max="7676" width="33.28515625" style="3" customWidth="1"/>
    <col min="7677" max="7677" width="8.85546875" style="3" customWidth="1"/>
    <col min="7678" max="7930" width="9.140625" style="3"/>
    <col min="7931" max="7931" width="2.85546875" style="3" customWidth="1"/>
    <col min="7932" max="7932" width="33.28515625" style="3" customWidth="1"/>
    <col min="7933" max="7933" width="8.85546875" style="3" customWidth="1"/>
    <col min="7934" max="8186" width="9.140625" style="3"/>
    <col min="8187" max="8187" width="2.85546875" style="3" customWidth="1"/>
    <col min="8188" max="8188" width="33.28515625" style="3" customWidth="1"/>
    <col min="8189" max="8189" width="8.85546875" style="3" customWidth="1"/>
    <col min="8190" max="8442" width="9.140625" style="3"/>
    <col min="8443" max="8443" width="2.85546875" style="3" customWidth="1"/>
    <col min="8444" max="8444" width="33.28515625" style="3" customWidth="1"/>
    <col min="8445" max="8445" width="8.85546875" style="3" customWidth="1"/>
    <col min="8446" max="8698" width="9.140625" style="3"/>
    <col min="8699" max="8699" width="2.85546875" style="3" customWidth="1"/>
    <col min="8700" max="8700" width="33.28515625" style="3" customWidth="1"/>
    <col min="8701" max="8701" width="8.85546875" style="3" customWidth="1"/>
    <col min="8702" max="8954" width="9.140625" style="3"/>
    <col min="8955" max="8955" width="2.85546875" style="3" customWidth="1"/>
    <col min="8956" max="8956" width="33.28515625" style="3" customWidth="1"/>
    <col min="8957" max="8957" width="8.85546875" style="3" customWidth="1"/>
    <col min="8958" max="9210" width="9.140625" style="3"/>
    <col min="9211" max="9211" width="2.85546875" style="3" customWidth="1"/>
    <col min="9212" max="9212" width="33.28515625" style="3" customWidth="1"/>
    <col min="9213" max="9213" width="8.85546875" style="3" customWidth="1"/>
    <col min="9214" max="9466" width="9.140625" style="3"/>
    <col min="9467" max="9467" width="2.85546875" style="3" customWidth="1"/>
    <col min="9468" max="9468" width="33.28515625" style="3" customWidth="1"/>
    <col min="9469" max="9469" width="8.85546875" style="3" customWidth="1"/>
    <col min="9470" max="9722" width="9.140625" style="3"/>
    <col min="9723" max="9723" width="2.85546875" style="3" customWidth="1"/>
    <col min="9724" max="9724" width="33.28515625" style="3" customWidth="1"/>
    <col min="9725" max="9725" width="8.85546875" style="3" customWidth="1"/>
    <col min="9726" max="9978" width="9.140625" style="3"/>
    <col min="9979" max="9979" width="2.85546875" style="3" customWidth="1"/>
    <col min="9980" max="9980" width="33.28515625" style="3" customWidth="1"/>
    <col min="9981" max="9981" width="8.85546875" style="3" customWidth="1"/>
    <col min="9982" max="10234" width="9.140625" style="3"/>
    <col min="10235" max="10235" width="2.85546875" style="3" customWidth="1"/>
    <col min="10236" max="10236" width="33.28515625" style="3" customWidth="1"/>
    <col min="10237" max="10237" width="8.85546875" style="3" customWidth="1"/>
    <col min="10238" max="10490" width="9.140625" style="3"/>
    <col min="10491" max="10491" width="2.85546875" style="3" customWidth="1"/>
    <col min="10492" max="10492" width="33.28515625" style="3" customWidth="1"/>
    <col min="10493" max="10493" width="8.85546875" style="3" customWidth="1"/>
    <col min="10494" max="10746" width="9.140625" style="3"/>
    <col min="10747" max="10747" width="2.85546875" style="3" customWidth="1"/>
    <col min="10748" max="10748" width="33.28515625" style="3" customWidth="1"/>
    <col min="10749" max="10749" width="8.85546875" style="3" customWidth="1"/>
    <col min="10750" max="11002" width="9.140625" style="3"/>
    <col min="11003" max="11003" width="2.85546875" style="3" customWidth="1"/>
    <col min="11004" max="11004" width="33.28515625" style="3" customWidth="1"/>
    <col min="11005" max="11005" width="8.85546875" style="3" customWidth="1"/>
    <col min="11006" max="11258" width="9.140625" style="3"/>
    <col min="11259" max="11259" width="2.85546875" style="3" customWidth="1"/>
    <col min="11260" max="11260" width="33.28515625" style="3" customWidth="1"/>
    <col min="11261" max="11261" width="8.85546875" style="3" customWidth="1"/>
    <col min="11262" max="11514" width="9.140625" style="3"/>
    <col min="11515" max="11515" width="2.85546875" style="3" customWidth="1"/>
    <col min="11516" max="11516" width="33.28515625" style="3" customWidth="1"/>
    <col min="11517" max="11517" width="8.85546875" style="3" customWidth="1"/>
    <col min="11518" max="11770" width="9.140625" style="3"/>
    <col min="11771" max="11771" width="2.85546875" style="3" customWidth="1"/>
    <col min="11772" max="11772" width="33.28515625" style="3" customWidth="1"/>
    <col min="11773" max="11773" width="8.85546875" style="3" customWidth="1"/>
    <col min="11774" max="12026" width="9.140625" style="3"/>
    <col min="12027" max="12027" width="2.85546875" style="3" customWidth="1"/>
    <col min="12028" max="12028" width="33.28515625" style="3" customWidth="1"/>
    <col min="12029" max="12029" width="8.85546875" style="3" customWidth="1"/>
    <col min="12030" max="12282" width="9.140625" style="3"/>
    <col min="12283" max="12283" width="2.85546875" style="3" customWidth="1"/>
    <col min="12284" max="12284" width="33.28515625" style="3" customWidth="1"/>
    <col min="12285" max="12285" width="8.85546875" style="3" customWidth="1"/>
    <col min="12286" max="12538" width="9.140625" style="3"/>
    <col min="12539" max="12539" width="2.85546875" style="3" customWidth="1"/>
    <col min="12540" max="12540" width="33.28515625" style="3" customWidth="1"/>
    <col min="12541" max="12541" width="8.85546875" style="3" customWidth="1"/>
    <col min="12542" max="12794" width="9.140625" style="3"/>
    <col min="12795" max="12795" width="2.85546875" style="3" customWidth="1"/>
    <col min="12796" max="12796" width="33.28515625" style="3" customWidth="1"/>
    <col min="12797" max="12797" width="8.85546875" style="3" customWidth="1"/>
    <col min="12798" max="13050" width="9.140625" style="3"/>
    <col min="13051" max="13051" width="2.85546875" style="3" customWidth="1"/>
    <col min="13052" max="13052" width="33.28515625" style="3" customWidth="1"/>
    <col min="13053" max="13053" width="8.85546875" style="3" customWidth="1"/>
    <col min="13054" max="13306" width="9.140625" style="3"/>
    <col min="13307" max="13307" width="2.85546875" style="3" customWidth="1"/>
    <col min="13308" max="13308" width="33.28515625" style="3" customWidth="1"/>
    <col min="13309" max="13309" width="8.85546875" style="3" customWidth="1"/>
    <col min="13310" max="13562" width="9.140625" style="3"/>
    <col min="13563" max="13563" width="2.85546875" style="3" customWidth="1"/>
    <col min="13564" max="13564" width="33.28515625" style="3" customWidth="1"/>
    <col min="13565" max="13565" width="8.85546875" style="3" customWidth="1"/>
    <col min="13566" max="13818" width="9.140625" style="3"/>
    <col min="13819" max="13819" width="2.85546875" style="3" customWidth="1"/>
    <col min="13820" max="13820" width="33.28515625" style="3" customWidth="1"/>
    <col min="13821" max="13821" width="8.85546875" style="3" customWidth="1"/>
    <col min="13822" max="14074" width="9.140625" style="3"/>
    <col min="14075" max="14075" width="2.85546875" style="3" customWidth="1"/>
    <col min="14076" max="14076" width="33.28515625" style="3" customWidth="1"/>
    <col min="14077" max="14077" width="8.85546875" style="3" customWidth="1"/>
    <col min="14078" max="14330" width="9.140625" style="3"/>
    <col min="14331" max="14331" width="2.85546875" style="3" customWidth="1"/>
    <col min="14332" max="14332" width="33.28515625" style="3" customWidth="1"/>
    <col min="14333" max="14333" width="8.85546875" style="3" customWidth="1"/>
    <col min="14334" max="14586" width="9.140625" style="3"/>
    <col min="14587" max="14587" width="2.85546875" style="3" customWidth="1"/>
    <col min="14588" max="14588" width="33.28515625" style="3" customWidth="1"/>
    <col min="14589" max="14589" width="8.85546875" style="3" customWidth="1"/>
    <col min="14590" max="14842" width="9.140625" style="3"/>
    <col min="14843" max="14843" width="2.85546875" style="3" customWidth="1"/>
    <col min="14844" max="14844" width="33.28515625" style="3" customWidth="1"/>
    <col min="14845" max="14845" width="8.85546875" style="3" customWidth="1"/>
    <col min="14846" max="15098" width="9.140625" style="3"/>
    <col min="15099" max="15099" width="2.85546875" style="3" customWidth="1"/>
    <col min="15100" max="15100" width="33.28515625" style="3" customWidth="1"/>
    <col min="15101" max="15101" width="8.85546875" style="3" customWidth="1"/>
    <col min="15102" max="15354" width="9.140625" style="3"/>
    <col min="15355" max="15355" width="2.85546875" style="3" customWidth="1"/>
    <col min="15356" max="15356" width="33.28515625" style="3" customWidth="1"/>
    <col min="15357" max="15357" width="8.85546875" style="3" customWidth="1"/>
    <col min="15358" max="15610" width="9.140625" style="3"/>
    <col min="15611" max="15611" width="2.85546875" style="3" customWidth="1"/>
    <col min="15612" max="15612" width="33.28515625" style="3" customWidth="1"/>
    <col min="15613" max="15613" width="8.85546875" style="3" customWidth="1"/>
    <col min="15614" max="15866" width="9.140625" style="3"/>
    <col min="15867" max="15867" width="2.85546875" style="3" customWidth="1"/>
    <col min="15868" max="15868" width="33.28515625" style="3" customWidth="1"/>
    <col min="15869" max="15869" width="8.85546875" style="3" customWidth="1"/>
    <col min="15870" max="16122" width="9.140625" style="3"/>
    <col min="16123" max="16123" width="2.85546875" style="3" customWidth="1"/>
    <col min="16124" max="16124" width="33.28515625" style="3" customWidth="1"/>
    <col min="16125" max="16125" width="8.85546875" style="3" customWidth="1"/>
    <col min="16126" max="16384" width="9.140625" style="3"/>
  </cols>
  <sheetData>
    <row r="1" spans="2:6" s="145" customFormat="1" ht="51" customHeight="1" x14ac:dyDescent="0.25">
      <c r="B1" s="326" t="s">
        <v>56</v>
      </c>
      <c r="C1" s="326"/>
      <c r="D1" s="326"/>
      <c r="E1" s="146"/>
      <c r="F1" s="146"/>
    </row>
    <row r="2" spans="2:6" s="145" customFormat="1" ht="40.5" customHeight="1" thickBot="1" x14ac:dyDescent="0.3">
      <c r="B2" s="328" t="s">
        <v>776</v>
      </c>
      <c r="C2" s="328"/>
      <c r="D2" s="328"/>
      <c r="E2" s="147"/>
      <c r="F2" s="147"/>
    </row>
    <row r="3" spans="2:6" ht="25.5" customHeight="1" x14ac:dyDescent="0.25">
      <c r="B3" s="333" t="s">
        <v>12</v>
      </c>
      <c r="C3" s="329" t="s">
        <v>57</v>
      </c>
      <c r="D3" s="331" t="s">
        <v>58</v>
      </c>
    </row>
    <row r="4" spans="2:6" ht="18.75" customHeight="1" thickBot="1" x14ac:dyDescent="0.3">
      <c r="B4" s="334"/>
      <c r="C4" s="330"/>
      <c r="D4" s="332"/>
    </row>
    <row r="5" spans="2:6" ht="25.5" customHeight="1" x14ac:dyDescent="0.25">
      <c r="B5" s="327" t="s">
        <v>42</v>
      </c>
      <c r="C5" s="327"/>
      <c r="D5" s="159"/>
    </row>
    <row r="6" spans="2:6" s="153" customFormat="1" ht="36" customHeight="1" x14ac:dyDescent="0.25">
      <c r="B6" s="154" t="s">
        <v>149</v>
      </c>
      <c r="C6" s="148" t="s">
        <v>15</v>
      </c>
      <c r="D6" s="157">
        <v>0.4</v>
      </c>
    </row>
    <row r="7" spans="2:6" ht="18" customHeight="1" x14ac:dyDescent="0.25">
      <c r="B7" s="2" t="s">
        <v>775</v>
      </c>
      <c r="C7" s="1" t="s">
        <v>1</v>
      </c>
      <c r="D7" s="1">
        <f>D6*1.4*1.26</f>
        <v>0.70559999999999989</v>
      </c>
    </row>
    <row r="8" spans="2:6" s="153" customFormat="1" ht="18" customHeight="1" x14ac:dyDescent="0.25">
      <c r="B8" s="154" t="s">
        <v>54</v>
      </c>
      <c r="C8" s="148" t="s">
        <v>15</v>
      </c>
      <c r="D8" s="157">
        <v>0.4</v>
      </c>
    </row>
    <row r="9" spans="2:6" ht="18" customHeight="1" x14ac:dyDescent="0.25">
      <c r="B9" s="2" t="s">
        <v>43</v>
      </c>
      <c r="C9" s="1" t="s">
        <v>15</v>
      </c>
      <c r="D9" s="1">
        <f>1.015*D8</f>
        <v>0.40599999999999997</v>
      </c>
    </row>
    <row r="10" spans="2:6" s="153" customFormat="1" ht="18" customHeight="1" x14ac:dyDescent="0.25">
      <c r="B10" s="154" t="s">
        <v>150</v>
      </c>
      <c r="C10" s="148" t="s">
        <v>15</v>
      </c>
      <c r="D10" s="157">
        <v>0.8</v>
      </c>
    </row>
    <row r="11" spans="2:6" ht="15.75" customHeight="1" x14ac:dyDescent="0.25">
      <c r="B11" s="2" t="s">
        <v>17</v>
      </c>
      <c r="C11" s="149" t="s">
        <v>15</v>
      </c>
      <c r="D11" s="150">
        <f>0.8*1.015</f>
        <v>0.81199999999999994</v>
      </c>
    </row>
    <row r="12" spans="2:6" ht="15.75" customHeight="1" x14ac:dyDescent="0.25">
      <c r="B12" s="2" t="s">
        <v>777</v>
      </c>
      <c r="C12" s="149" t="s">
        <v>1</v>
      </c>
      <c r="D12" s="150">
        <f>0.03*1.01</f>
        <v>3.0300000000000001E-2</v>
      </c>
    </row>
    <row r="13" spans="2:6" ht="15.75" customHeight="1" x14ac:dyDescent="0.25">
      <c r="B13" s="2" t="s">
        <v>778</v>
      </c>
      <c r="C13" s="149" t="s">
        <v>1</v>
      </c>
      <c r="D13" s="150">
        <f>0.02*1.01</f>
        <v>2.0199999999999999E-2</v>
      </c>
    </row>
    <row r="14" spans="2:6" ht="15.75" customHeight="1" x14ac:dyDescent="0.25">
      <c r="B14" s="2" t="s">
        <v>48</v>
      </c>
      <c r="C14" s="149" t="s">
        <v>1</v>
      </c>
      <c r="D14" s="150">
        <f>0.036*1.015</f>
        <v>3.6539999999999996E-2</v>
      </c>
      <c r="E14" s="4"/>
      <c r="F14" s="151"/>
    </row>
    <row r="15" spans="2:6" s="153" customFormat="1" ht="45" customHeight="1" x14ac:dyDescent="0.25">
      <c r="B15" s="154" t="s">
        <v>151</v>
      </c>
      <c r="C15" s="148" t="s">
        <v>1</v>
      </c>
      <c r="D15" s="157">
        <v>6.6845999999999997</v>
      </c>
    </row>
    <row r="16" spans="2:6" ht="15.75" customHeight="1" x14ac:dyDescent="0.25">
      <c r="B16" s="2" t="s">
        <v>44</v>
      </c>
      <c r="C16" s="149" t="s">
        <v>1</v>
      </c>
      <c r="D16" s="150">
        <f>1.03*0.705</f>
        <v>0.72614999999999996</v>
      </c>
    </row>
    <row r="17" spans="2:6" ht="15.75" customHeight="1" x14ac:dyDescent="0.25">
      <c r="B17" s="2" t="s">
        <v>45</v>
      </c>
      <c r="C17" s="149" t="s">
        <v>1</v>
      </c>
      <c r="D17" s="150">
        <f>2.091*1.03</f>
        <v>2.1537300000000004</v>
      </c>
    </row>
    <row r="18" spans="2:6" ht="15.75" customHeight="1" x14ac:dyDescent="0.25">
      <c r="B18" s="2" t="s">
        <v>46</v>
      </c>
      <c r="C18" s="149" t="s">
        <v>1</v>
      </c>
      <c r="D18" s="150">
        <f>0.72*1.03</f>
        <v>0.74160000000000004</v>
      </c>
    </row>
    <row r="19" spans="2:6" ht="15.75" customHeight="1" x14ac:dyDescent="0.25">
      <c r="B19" s="2" t="s">
        <v>47</v>
      </c>
      <c r="C19" s="149" t="s">
        <v>1</v>
      </c>
      <c r="D19" s="150">
        <f>1.03*3.1326</f>
        <v>3.2265779999999999</v>
      </c>
    </row>
    <row r="20" spans="2:6" ht="15.75" customHeight="1" x14ac:dyDescent="0.25">
      <c r="B20" s="2" t="s">
        <v>48</v>
      </c>
      <c r="C20" s="149" t="s">
        <v>1</v>
      </c>
      <c r="D20" s="150">
        <f>0.036*1.03</f>
        <v>3.7079999999999995E-2</v>
      </c>
      <c r="E20" s="4"/>
      <c r="F20" s="151"/>
    </row>
    <row r="21" spans="2:6" ht="15.75" x14ac:dyDescent="0.25">
      <c r="B21" s="2" t="s">
        <v>49</v>
      </c>
      <c r="C21" s="149" t="s">
        <v>1</v>
      </c>
      <c r="D21" s="150">
        <f>(25.92+7.2+10.56+6.16+4.9+8.82+276+28.56+18.48+98.98)*1.03/1000</f>
        <v>0.50014740000000002</v>
      </c>
      <c r="E21" s="4"/>
      <c r="F21" s="151"/>
    </row>
    <row r="22" spans="2:6" ht="15.75" x14ac:dyDescent="0.25">
      <c r="B22" s="2" t="s">
        <v>156</v>
      </c>
      <c r="C22" s="149" t="s">
        <v>6</v>
      </c>
      <c r="D22" s="158">
        <f>D15*2.5%*1000</f>
        <v>167.11500000000001</v>
      </c>
      <c r="E22" s="4"/>
      <c r="F22" s="151"/>
    </row>
    <row r="23" spans="2:6" s="153" customFormat="1" ht="47.25" x14ac:dyDescent="0.25">
      <c r="B23" s="154" t="s">
        <v>154</v>
      </c>
      <c r="C23" s="148" t="s">
        <v>7</v>
      </c>
      <c r="D23" s="157">
        <f>41.6*6.6846</f>
        <v>278.07936000000001</v>
      </c>
      <c r="E23" s="155"/>
      <c r="F23" s="156"/>
    </row>
    <row r="24" spans="2:6" ht="15.75" x14ac:dyDescent="0.25">
      <c r="B24" s="2" t="s">
        <v>155</v>
      </c>
      <c r="C24" s="149" t="s">
        <v>53</v>
      </c>
      <c r="D24" s="158">
        <f>0.12*D23</f>
        <v>33.369523200000003</v>
      </c>
      <c r="E24" s="4"/>
      <c r="F24" s="151"/>
    </row>
    <row r="25" spans="2:6" s="153" customFormat="1" ht="31.5" x14ac:dyDescent="0.25">
      <c r="B25" s="154" t="s">
        <v>157</v>
      </c>
      <c r="C25" s="148" t="s">
        <v>7</v>
      </c>
      <c r="D25" s="157">
        <f>35*6.6846</f>
        <v>233.96099999999998</v>
      </c>
      <c r="E25" s="155"/>
      <c r="F25" s="156"/>
    </row>
    <row r="26" spans="2:6" ht="15.75" x14ac:dyDescent="0.25">
      <c r="B26" s="2" t="s">
        <v>158</v>
      </c>
      <c r="C26" s="149" t="s">
        <v>53</v>
      </c>
      <c r="D26" s="158">
        <f>0.2*D25</f>
        <v>46.792200000000001</v>
      </c>
      <c r="E26" s="4"/>
      <c r="F26" s="151"/>
    </row>
    <row r="27" spans="2:6" s="153" customFormat="1" ht="15.75" x14ac:dyDescent="0.25">
      <c r="B27" s="154" t="s">
        <v>159</v>
      </c>
      <c r="C27" s="148" t="s">
        <v>7</v>
      </c>
      <c r="D27" s="157">
        <f>35*6.6846</f>
        <v>233.96099999999998</v>
      </c>
      <c r="E27" s="155"/>
      <c r="F27" s="156"/>
    </row>
    <row r="28" spans="2:6" ht="15.75" x14ac:dyDescent="0.25">
      <c r="B28" s="2" t="s">
        <v>160</v>
      </c>
      <c r="C28" s="149" t="s">
        <v>53</v>
      </c>
      <c r="D28" s="158">
        <f>0.5*D27</f>
        <v>116.98049999999999</v>
      </c>
      <c r="E28" s="4"/>
      <c r="F28" s="151"/>
    </row>
    <row r="29" spans="2:6" s="153" customFormat="1" ht="15.75" x14ac:dyDescent="0.25">
      <c r="B29" s="154" t="s">
        <v>152</v>
      </c>
      <c r="C29" s="148" t="s">
        <v>7</v>
      </c>
      <c r="D29" s="157">
        <v>126.5</v>
      </c>
      <c r="E29" s="155"/>
      <c r="F29" s="156"/>
    </row>
    <row r="30" spans="2:6" ht="15.75" x14ac:dyDescent="0.25">
      <c r="B30" s="2" t="s">
        <v>153</v>
      </c>
      <c r="C30" s="149" t="s">
        <v>7</v>
      </c>
      <c r="D30" s="158">
        <v>126.5</v>
      </c>
      <c r="E30" s="4"/>
      <c r="F30" s="151"/>
    </row>
    <row r="31" spans="2:6" s="153" customFormat="1" ht="31.5" x14ac:dyDescent="0.25">
      <c r="B31" s="154" t="s">
        <v>162</v>
      </c>
      <c r="C31" s="148" t="s">
        <v>7</v>
      </c>
      <c r="D31" s="157">
        <v>255</v>
      </c>
      <c r="E31" s="155"/>
      <c r="F31" s="156"/>
    </row>
    <row r="32" spans="2:6" ht="31.5" x14ac:dyDescent="0.25">
      <c r="B32" s="2" t="s">
        <v>161</v>
      </c>
      <c r="C32" s="149" t="s">
        <v>7</v>
      </c>
      <c r="D32" s="158">
        <f>D31*1.05</f>
        <v>267.75</v>
      </c>
      <c r="E32" s="4"/>
      <c r="F32" s="151"/>
    </row>
    <row r="33" spans="2:6" s="153" customFormat="1" ht="15.75" x14ac:dyDescent="0.25">
      <c r="B33" s="154" t="s">
        <v>163</v>
      </c>
      <c r="C33" s="148" t="s">
        <v>144</v>
      </c>
      <c r="D33" s="157">
        <f>50+6</f>
        <v>56</v>
      </c>
      <c r="E33" s="155"/>
      <c r="F33" s="156"/>
    </row>
    <row r="34" spans="2:6" ht="15.75" x14ac:dyDescent="0.25">
      <c r="B34" s="2" t="s">
        <v>143</v>
      </c>
      <c r="C34" s="149" t="s">
        <v>144</v>
      </c>
      <c r="D34" s="158">
        <v>50</v>
      </c>
      <c r="E34" s="4"/>
      <c r="F34" s="151"/>
    </row>
    <row r="35" spans="2:6" ht="15.75" x14ac:dyDescent="0.25">
      <c r="B35" s="2" t="s">
        <v>145</v>
      </c>
      <c r="C35" s="149" t="s">
        <v>144</v>
      </c>
      <c r="D35" s="158">
        <v>6</v>
      </c>
      <c r="E35" s="4"/>
      <c r="F35" s="151"/>
    </row>
    <row r="36" spans="2:6" ht="15.75" x14ac:dyDescent="0.25">
      <c r="B36" s="2" t="s">
        <v>146</v>
      </c>
      <c r="C36" s="149" t="s">
        <v>51</v>
      </c>
      <c r="D36" s="158">
        <v>2</v>
      </c>
      <c r="E36" s="4"/>
      <c r="F36" s="151"/>
    </row>
    <row r="37" spans="2:6" ht="15.75" x14ac:dyDescent="0.25">
      <c r="B37" s="2" t="s">
        <v>147</v>
      </c>
      <c r="C37" s="149" t="s">
        <v>51</v>
      </c>
      <c r="D37" s="158">
        <v>4</v>
      </c>
      <c r="E37" s="4"/>
      <c r="F37" s="151"/>
    </row>
    <row r="38" spans="2:6" s="153" customFormat="1" ht="31.5" x14ac:dyDescent="0.25">
      <c r="B38" s="154" t="s">
        <v>164</v>
      </c>
      <c r="C38" s="148" t="s">
        <v>51</v>
      </c>
      <c r="D38" s="157">
        <v>14</v>
      </c>
      <c r="E38" s="155"/>
      <c r="F38" s="156"/>
    </row>
    <row r="39" spans="2:6" ht="15.75" x14ac:dyDescent="0.25">
      <c r="B39" s="2" t="s">
        <v>148</v>
      </c>
      <c r="C39" s="149" t="s">
        <v>51</v>
      </c>
      <c r="D39" s="158">
        <v>14</v>
      </c>
      <c r="E39" s="4"/>
      <c r="F39" s="151"/>
    </row>
  </sheetData>
  <mergeCells count="6">
    <mergeCell ref="B1:D1"/>
    <mergeCell ref="B5:C5"/>
    <mergeCell ref="B2:D2"/>
    <mergeCell ref="C3:C4"/>
    <mergeCell ref="D3:D4"/>
    <mergeCell ref="B3:B4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F53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J11" sqref="J11"/>
    </sheetView>
  </sheetViews>
  <sheetFormatPr defaultRowHeight="18.75" x14ac:dyDescent="0.3"/>
  <cols>
    <col min="1" max="1" width="3.140625" style="168" customWidth="1"/>
    <col min="2" max="2" width="6.140625" style="168" customWidth="1"/>
    <col min="3" max="3" width="10.28515625" style="168" customWidth="1"/>
    <col min="4" max="4" width="34.85546875" style="168" customWidth="1"/>
    <col min="5" max="5" width="11" style="168" customWidth="1"/>
    <col min="6" max="6" width="12.140625" style="169" customWidth="1"/>
    <col min="7" max="228" width="9.140625" style="51"/>
    <col min="229" max="229" width="3.140625" style="51" customWidth="1"/>
    <col min="230" max="230" width="6.140625" style="51" customWidth="1"/>
    <col min="231" max="231" width="10.28515625" style="51" customWidth="1"/>
    <col min="232" max="232" width="34.140625" style="51" customWidth="1"/>
    <col min="233" max="233" width="9.28515625" style="51" customWidth="1"/>
    <col min="234" max="235" width="12.140625" style="51" customWidth="1"/>
    <col min="236" max="246" width="9.85546875" style="51" customWidth="1"/>
    <col min="247" max="247" width="11.5703125" style="51" customWidth="1"/>
    <col min="248" max="248" width="12.7109375" style="51" customWidth="1"/>
    <col min="249" max="249" width="9.140625" style="51"/>
    <col min="250" max="250" width="11.42578125" style="51" customWidth="1"/>
    <col min="251" max="484" width="9.140625" style="51"/>
    <col min="485" max="485" width="3.140625" style="51" customWidth="1"/>
    <col min="486" max="486" width="6.140625" style="51" customWidth="1"/>
    <col min="487" max="487" width="10.28515625" style="51" customWidth="1"/>
    <col min="488" max="488" width="34.140625" style="51" customWidth="1"/>
    <col min="489" max="489" width="9.28515625" style="51" customWidth="1"/>
    <col min="490" max="491" width="12.140625" style="51" customWidth="1"/>
    <col min="492" max="502" width="9.85546875" style="51" customWidth="1"/>
    <col min="503" max="503" width="11.5703125" style="51" customWidth="1"/>
    <col min="504" max="504" width="12.7109375" style="51" customWidth="1"/>
    <col min="505" max="505" width="9.140625" style="51"/>
    <col min="506" max="506" width="11.42578125" style="51" customWidth="1"/>
    <col min="507" max="740" width="9.140625" style="51"/>
    <col min="741" max="741" width="3.140625" style="51" customWidth="1"/>
    <col min="742" max="742" width="6.140625" style="51" customWidth="1"/>
    <col min="743" max="743" width="10.28515625" style="51" customWidth="1"/>
    <col min="744" max="744" width="34.140625" style="51" customWidth="1"/>
    <col min="745" max="745" width="9.28515625" style="51" customWidth="1"/>
    <col min="746" max="747" width="12.140625" style="51" customWidth="1"/>
    <col min="748" max="758" width="9.85546875" style="51" customWidth="1"/>
    <col min="759" max="759" width="11.5703125" style="51" customWidth="1"/>
    <col min="760" max="760" width="12.7109375" style="51" customWidth="1"/>
    <col min="761" max="761" width="9.140625" style="51"/>
    <col min="762" max="762" width="11.42578125" style="51" customWidth="1"/>
    <col min="763" max="996" width="9.140625" style="51"/>
    <col min="997" max="997" width="3.140625" style="51" customWidth="1"/>
    <col min="998" max="998" width="6.140625" style="51" customWidth="1"/>
    <col min="999" max="999" width="10.28515625" style="51" customWidth="1"/>
    <col min="1000" max="1000" width="34.140625" style="51" customWidth="1"/>
    <col min="1001" max="1001" width="9.28515625" style="51" customWidth="1"/>
    <col min="1002" max="1003" width="12.140625" style="51" customWidth="1"/>
    <col min="1004" max="1014" width="9.85546875" style="51" customWidth="1"/>
    <col min="1015" max="1015" width="11.5703125" style="51" customWidth="1"/>
    <col min="1016" max="1016" width="12.7109375" style="51" customWidth="1"/>
    <col min="1017" max="1017" width="9.140625" style="51"/>
    <col min="1018" max="1018" width="11.42578125" style="51" customWidth="1"/>
    <col min="1019" max="1252" width="9.140625" style="51"/>
    <col min="1253" max="1253" width="3.140625" style="51" customWidth="1"/>
    <col min="1254" max="1254" width="6.140625" style="51" customWidth="1"/>
    <col min="1255" max="1255" width="10.28515625" style="51" customWidth="1"/>
    <col min="1256" max="1256" width="34.140625" style="51" customWidth="1"/>
    <col min="1257" max="1257" width="9.28515625" style="51" customWidth="1"/>
    <col min="1258" max="1259" width="12.140625" style="51" customWidth="1"/>
    <col min="1260" max="1270" width="9.85546875" style="51" customWidth="1"/>
    <col min="1271" max="1271" width="11.5703125" style="51" customWidth="1"/>
    <col min="1272" max="1272" width="12.7109375" style="51" customWidth="1"/>
    <col min="1273" max="1273" width="9.140625" style="51"/>
    <col min="1274" max="1274" width="11.42578125" style="51" customWidth="1"/>
    <col min="1275" max="1508" width="9.140625" style="51"/>
    <col min="1509" max="1509" width="3.140625" style="51" customWidth="1"/>
    <col min="1510" max="1510" width="6.140625" style="51" customWidth="1"/>
    <col min="1511" max="1511" width="10.28515625" style="51" customWidth="1"/>
    <col min="1512" max="1512" width="34.140625" style="51" customWidth="1"/>
    <col min="1513" max="1513" width="9.28515625" style="51" customWidth="1"/>
    <col min="1514" max="1515" width="12.140625" style="51" customWidth="1"/>
    <col min="1516" max="1526" width="9.85546875" style="51" customWidth="1"/>
    <col min="1527" max="1527" width="11.5703125" style="51" customWidth="1"/>
    <col min="1528" max="1528" width="12.7109375" style="51" customWidth="1"/>
    <col min="1529" max="1529" width="9.140625" style="51"/>
    <col min="1530" max="1530" width="11.42578125" style="51" customWidth="1"/>
    <col min="1531" max="1764" width="9.140625" style="51"/>
    <col min="1765" max="1765" width="3.140625" style="51" customWidth="1"/>
    <col min="1766" max="1766" width="6.140625" style="51" customWidth="1"/>
    <col min="1767" max="1767" width="10.28515625" style="51" customWidth="1"/>
    <col min="1768" max="1768" width="34.140625" style="51" customWidth="1"/>
    <col min="1769" max="1769" width="9.28515625" style="51" customWidth="1"/>
    <col min="1770" max="1771" width="12.140625" style="51" customWidth="1"/>
    <col min="1772" max="1782" width="9.85546875" style="51" customWidth="1"/>
    <col min="1783" max="1783" width="11.5703125" style="51" customWidth="1"/>
    <col min="1784" max="1784" width="12.7109375" style="51" customWidth="1"/>
    <col min="1785" max="1785" width="9.140625" style="51"/>
    <col min="1786" max="1786" width="11.42578125" style="51" customWidth="1"/>
    <col min="1787" max="2020" width="9.140625" style="51"/>
    <col min="2021" max="2021" width="3.140625" style="51" customWidth="1"/>
    <col min="2022" max="2022" width="6.140625" style="51" customWidth="1"/>
    <col min="2023" max="2023" width="10.28515625" style="51" customWidth="1"/>
    <col min="2024" max="2024" width="34.140625" style="51" customWidth="1"/>
    <col min="2025" max="2025" width="9.28515625" style="51" customWidth="1"/>
    <col min="2026" max="2027" width="12.140625" style="51" customWidth="1"/>
    <col min="2028" max="2038" width="9.85546875" style="51" customWidth="1"/>
    <col min="2039" max="2039" width="11.5703125" style="51" customWidth="1"/>
    <col min="2040" max="2040" width="12.7109375" style="51" customWidth="1"/>
    <col min="2041" max="2041" width="9.140625" style="51"/>
    <col min="2042" max="2042" width="11.42578125" style="51" customWidth="1"/>
    <col min="2043" max="2276" width="9.140625" style="51"/>
    <col min="2277" max="2277" width="3.140625" style="51" customWidth="1"/>
    <col min="2278" max="2278" width="6.140625" style="51" customWidth="1"/>
    <col min="2279" max="2279" width="10.28515625" style="51" customWidth="1"/>
    <col min="2280" max="2280" width="34.140625" style="51" customWidth="1"/>
    <col min="2281" max="2281" width="9.28515625" style="51" customWidth="1"/>
    <col min="2282" max="2283" width="12.140625" style="51" customWidth="1"/>
    <col min="2284" max="2294" width="9.85546875" style="51" customWidth="1"/>
    <col min="2295" max="2295" width="11.5703125" style="51" customWidth="1"/>
    <col min="2296" max="2296" width="12.7109375" style="51" customWidth="1"/>
    <col min="2297" max="2297" width="9.140625" style="51"/>
    <col min="2298" max="2298" width="11.42578125" style="51" customWidth="1"/>
    <col min="2299" max="2532" width="9.140625" style="51"/>
    <col min="2533" max="2533" width="3.140625" style="51" customWidth="1"/>
    <col min="2534" max="2534" width="6.140625" style="51" customWidth="1"/>
    <col min="2535" max="2535" width="10.28515625" style="51" customWidth="1"/>
    <col min="2536" max="2536" width="34.140625" style="51" customWidth="1"/>
    <col min="2537" max="2537" width="9.28515625" style="51" customWidth="1"/>
    <col min="2538" max="2539" width="12.140625" style="51" customWidth="1"/>
    <col min="2540" max="2550" width="9.85546875" style="51" customWidth="1"/>
    <col min="2551" max="2551" width="11.5703125" style="51" customWidth="1"/>
    <col min="2552" max="2552" width="12.7109375" style="51" customWidth="1"/>
    <col min="2553" max="2553" width="9.140625" style="51"/>
    <col min="2554" max="2554" width="11.42578125" style="51" customWidth="1"/>
    <col min="2555" max="2788" width="9.140625" style="51"/>
    <col min="2789" max="2789" width="3.140625" style="51" customWidth="1"/>
    <col min="2790" max="2790" width="6.140625" style="51" customWidth="1"/>
    <col min="2791" max="2791" width="10.28515625" style="51" customWidth="1"/>
    <col min="2792" max="2792" width="34.140625" style="51" customWidth="1"/>
    <col min="2793" max="2793" width="9.28515625" style="51" customWidth="1"/>
    <col min="2794" max="2795" width="12.140625" style="51" customWidth="1"/>
    <col min="2796" max="2806" width="9.85546875" style="51" customWidth="1"/>
    <col min="2807" max="2807" width="11.5703125" style="51" customWidth="1"/>
    <col min="2808" max="2808" width="12.7109375" style="51" customWidth="1"/>
    <col min="2809" max="2809" width="9.140625" style="51"/>
    <col min="2810" max="2810" width="11.42578125" style="51" customWidth="1"/>
    <col min="2811" max="3044" width="9.140625" style="51"/>
    <col min="3045" max="3045" width="3.140625" style="51" customWidth="1"/>
    <col min="3046" max="3046" width="6.140625" style="51" customWidth="1"/>
    <col min="3047" max="3047" width="10.28515625" style="51" customWidth="1"/>
    <col min="3048" max="3048" width="34.140625" style="51" customWidth="1"/>
    <col min="3049" max="3049" width="9.28515625" style="51" customWidth="1"/>
    <col min="3050" max="3051" width="12.140625" style="51" customWidth="1"/>
    <col min="3052" max="3062" width="9.85546875" style="51" customWidth="1"/>
    <col min="3063" max="3063" width="11.5703125" style="51" customWidth="1"/>
    <col min="3064" max="3064" width="12.7109375" style="51" customWidth="1"/>
    <col min="3065" max="3065" width="9.140625" style="51"/>
    <col min="3066" max="3066" width="11.42578125" style="51" customWidth="1"/>
    <col min="3067" max="3300" width="9.140625" style="51"/>
    <col min="3301" max="3301" width="3.140625" style="51" customWidth="1"/>
    <col min="3302" max="3302" width="6.140625" style="51" customWidth="1"/>
    <col min="3303" max="3303" width="10.28515625" style="51" customWidth="1"/>
    <col min="3304" max="3304" width="34.140625" style="51" customWidth="1"/>
    <col min="3305" max="3305" width="9.28515625" style="51" customWidth="1"/>
    <col min="3306" max="3307" width="12.140625" style="51" customWidth="1"/>
    <col min="3308" max="3318" width="9.85546875" style="51" customWidth="1"/>
    <col min="3319" max="3319" width="11.5703125" style="51" customWidth="1"/>
    <col min="3320" max="3320" width="12.7109375" style="51" customWidth="1"/>
    <col min="3321" max="3321" width="9.140625" style="51"/>
    <col min="3322" max="3322" width="11.42578125" style="51" customWidth="1"/>
    <col min="3323" max="3556" width="9.140625" style="51"/>
    <col min="3557" max="3557" width="3.140625" style="51" customWidth="1"/>
    <col min="3558" max="3558" width="6.140625" style="51" customWidth="1"/>
    <col min="3559" max="3559" width="10.28515625" style="51" customWidth="1"/>
    <col min="3560" max="3560" width="34.140625" style="51" customWidth="1"/>
    <col min="3561" max="3561" width="9.28515625" style="51" customWidth="1"/>
    <col min="3562" max="3563" width="12.140625" style="51" customWidth="1"/>
    <col min="3564" max="3574" width="9.85546875" style="51" customWidth="1"/>
    <col min="3575" max="3575" width="11.5703125" style="51" customWidth="1"/>
    <col min="3576" max="3576" width="12.7109375" style="51" customWidth="1"/>
    <col min="3577" max="3577" width="9.140625" style="51"/>
    <col min="3578" max="3578" width="11.42578125" style="51" customWidth="1"/>
    <col min="3579" max="3812" width="9.140625" style="51"/>
    <col min="3813" max="3813" width="3.140625" style="51" customWidth="1"/>
    <col min="3814" max="3814" width="6.140625" style="51" customWidth="1"/>
    <col min="3815" max="3815" width="10.28515625" style="51" customWidth="1"/>
    <col min="3816" max="3816" width="34.140625" style="51" customWidth="1"/>
    <col min="3817" max="3817" width="9.28515625" style="51" customWidth="1"/>
    <col min="3818" max="3819" width="12.140625" style="51" customWidth="1"/>
    <col min="3820" max="3830" width="9.85546875" style="51" customWidth="1"/>
    <col min="3831" max="3831" width="11.5703125" style="51" customWidth="1"/>
    <col min="3832" max="3832" width="12.7109375" style="51" customWidth="1"/>
    <col min="3833" max="3833" width="9.140625" style="51"/>
    <col min="3834" max="3834" width="11.42578125" style="51" customWidth="1"/>
    <col min="3835" max="4068" width="9.140625" style="51"/>
    <col min="4069" max="4069" width="3.140625" style="51" customWidth="1"/>
    <col min="4070" max="4070" width="6.140625" style="51" customWidth="1"/>
    <col min="4071" max="4071" width="10.28515625" style="51" customWidth="1"/>
    <col min="4072" max="4072" width="34.140625" style="51" customWidth="1"/>
    <col min="4073" max="4073" width="9.28515625" style="51" customWidth="1"/>
    <col min="4074" max="4075" width="12.140625" style="51" customWidth="1"/>
    <col min="4076" max="4086" width="9.85546875" style="51" customWidth="1"/>
    <col min="4087" max="4087" width="11.5703125" style="51" customWidth="1"/>
    <col min="4088" max="4088" width="12.7109375" style="51" customWidth="1"/>
    <col min="4089" max="4089" width="9.140625" style="51"/>
    <col min="4090" max="4090" width="11.42578125" style="51" customWidth="1"/>
    <col min="4091" max="4324" width="9.140625" style="51"/>
    <col min="4325" max="4325" width="3.140625" style="51" customWidth="1"/>
    <col min="4326" max="4326" width="6.140625" style="51" customWidth="1"/>
    <col min="4327" max="4327" width="10.28515625" style="51" customWidth="1"/>
    <col min="4328" max="4328" width="34.140625" style="51" customWidth="1"/>
    <col min="4329" max="4329" width="9.28515625" style="51" customWidth="1"/>
    <col min="4330" max="4331" width="12.140625" style="51" customWidth="1"/>
    <col min="4332" max="4342" width="9.85546875" style="51" customWidth="1"/>
    <col min="4343" max="4343" width="11.5703125" style="51" customWidth="1"/>
    <col min="4344" max="4344" width="12.7109375" style="51" customWidth="1"/>
    <col min="4345" max="4345" width="9.140625" style="51"/>
    <col min="4346" max="4346" width="11.42578125" style="51" customWidth="1"/>
    <col min="4347" max="4580" width="9.140625" style="51"/>
    <col min="4581" max="4581" width="3.140625" style="51" customWidth="1"/>
    <col min="4582" max="4582" width="6.140625" style="51" customWidth="1"/>
    <col min="4583" max="4583" width="10.28515625" style="51" customWidth="1"/>
    <col min="4584" max="4584" width="34.140625" style="51" customWidth="1"/>
    <col min="4585" max="4585" width="9.28515625" style="51" customWidth="1"/>
    <col min="4586" max="4587" width="12.140625" style="51" customWidth="1"/>
    <col min="4588" max="4598" width="9.85546875" style="51" customWidth="1"/>
    <col min="4599" max="4599" width="11.5703125" style="51" customWidth="1"/>
    <col min="4600" max="4600" width="12.7109375" style="51" customWidth="1"/>
    <col min="4601" max="4601" width="9.140625" style="51"/>
    <col min="4602" max="4602" width="11.42578125" style="51" customWidth="1"/>
    <col min="4603" max="4836" width="9.140625" style="51"/>
    <col min="4837" max="4837" width="3.140625" style="51" customWidth="1"/>
    <col min="4838" max="4838" width="6.140625" style="51" customWidth="1"/>
    <col min="4839" max="4839" width="10.28515625" style="51" customWidth="1"/>
    <col min="4840" max="4840" width="34.140625" style="51" customWidth="1"/>
    <col min="4841" max="4841" width="9.28515625" style="51" customWidth="1"/>
    <col min="4842" max="4843" width="12.140625" style="51" customWidth="1"/>
    <col min="4844" max="4854" width="9.85546875" style="51" customWidth="1"/>
    <col min="4855" max="4855" width="11.5703125" style="51" customWidth="1"/>
    <col min="4856" max="4856" width="12.7109375" style="51" customWidth="1"/>
    <col min="4857" max="4857" width="9.140625" style="51"/>
    <col min="4858" max="4858" width="11.42578125" style="51" customWidth="1"/>
    <col min="4859" max="5092" width="9.140625" style="51"/>
    <col min="5093" max="5093" width="3.140625" style="51" customWidth="1"/>
    <col min="5094" max="5094" width="6.140625" style="51" customWidth="1"/>
    <col min="5095" max="5095" width="10.28515625" style="51" customWidth="1"/>
    <col min="5096" max="5096" width="34.140625" style="51" customWidth="1"/>
    <col min="5097" max="5097" width="9.28515625" style="51" customWidth="1"/>
    <col min="5098" max="5099" width="12.140625" style="51" customWidth="1"/>
    <col min="5100" max="5110" width="9.85546875" style="51" customWidth="1"/>
    <col min="5111" max="5111" width="11.5703125" style="51" customWidth="1"/>
    <col min="5112" max="5112" width="12.7109375" style="51" customWidth="1"/>
    <col min="5113" max="5113" width="9.140625" style="51"/>
    <col min="5114" max="5114" width="11.42578125" style="51" customWidth="1"/>
    <col min="5115" max="5348" width="9.140625" style="51"/>
    <col min="5349" max="5349" width="3.140625" style="51" customWidth="1"/>
    <col min="5350" max="5350" width="6.140625" style="51" customWidth="1"/>
    <col min="5351" max="5351" width="10.28515625" style="51" customWidth="1"/>
    <col min="5352" max="5352" width="34.140625" style="51" customWidth="1"/>
    <col min="5353" max="5353" width="9.28515625" style="51" customWidth="1"/>
    <col min="5354" max="5355" width="12.140625" style="51" customWidth="1"/>
    <col min="5356" max="5366" width="9.85546875" style="51" customWidth="1"/>
    <col min="5367" max="5367" width="11.5703125" style="51" customWidth="1"/>
    <col min="5368" max="5368" width="12.7109375" style="51" customWidth="1"/>
    <col min="5369" max="5369" width="9.140625" style="51"/>
    <col min="5370" max="5370" width="11.42578125" style="51" customWidth="1"/>
    <col min="5371" max="5604" width="9.140625" style="51"/>
    <col min="5605" max="5605" width="3.140625" style="51" customWidth="1"/>
    <col min="5606" max="5606" width="6.140625" style="51" customWidth="1"/>
    <col min="5607" max="5607" width="10.28515625" style="51" customWidth="1"/>
    <col min="5608" max="5608" width="34.140625" style="51" customWidth="1"/>
    <col min="5609" max="5609" width="9.28515625" style="51" customWidth="1"/>
    <col min="5610" max="5611" width="12.140625" style="51" customWidth="1"/>
    <col min="5612" max="5622" width="9.85546875" style="51" customWidth="1"/>
    <col min="5623" max="5623" width="11.5703125" style="51" customWidth="1"/>
    <col min="5624" max="5624" width="12.7109375" style="51" customWidth="1"/>
    <col min="5625" max="5625" width="9.140625" style="51"/>
    <col min="5626" max="5626" width="11.42578125" style="51" customWidth="1"/>
    <col min="5627" max="5860" width="9.140625" style="51"/>
    <col min="5861" max="5861" width="3.140625" style="51" customWidth="1"/>
    <col min="5862" max="5862" width="6.140625" style="51" customWidth="1"/>
    <col min="5863" max="5863" width="10.28515625" style="51" customWidth="1"/>
    <col min="5864" max="5864" width="34.140625" style="51" customWidth="1"/>
    <col min="5865" max="5865" width="9.28515625" style="51" customWidth="1"/>
    <col min="5866" max="5867" width="12.140625" style="51" customWidth="1"/>
    <col min="5868" max="5878" width="9.85546875" style="51" customWidth="1"/>
    <col min="5879" max="5879" width="11.5703125" style="51" customWidth="1"/>
    <col min="5880" max="5880" width="12.7109375" style="51" customWidth="1"/>
    <col min="5881" max="5881" width="9.140625" style="51"/>
    <col min="5882" max="5882" width="11.42578125" style="51" customWidth="1"/>
    <col min="5883" max="6116" width="9.140625" style="51"/>
    <col min="6117" max="6117" width="3.140625" style="51" customWidth="1"/>
    <col min="6118" max="6118" width="6.140625" style="51" customWidth="1"/>
    <col min="6119" max="6119" width="10.28515625" style="51" customWidth="1"/>
    <col min="6120" max="6120" width="34.140625" style="51" customWidth="1"/>
    <col min="6121" max="6121" width="9.28515625" style="51" customWidth="1"/>
    <col min="6122" max="6123" width="12.140625" style="51" customWidth="1"/>
    <col min="6124" max="6134" width="9.85546875" style="51" customWidth="1"/>
    <col min="6135" max="6135" width="11.5703125" style="51" customWidth="1"/>
    <col min="6136" max="6136" width="12.7109375" style="51" customWidth="1"/>
    <col min="6137" max="6137" width="9.140625" style="51"/>
    <col min="6138" max="6138" width="11.42578125" style="51" customWidth="1"/>
    <col min="6139" max="6372" width="9.140625" style="51"/>
    <col min="6373" max="6373" width="3.140625" style="51" customWidth="1"/>
    <col min="6374" max="6374" width="6.140625" style="51" customWidth="1"/>
    <col min="6375" max="6375" width="10.28515625" style="51" customWidth="1"/>
    <col min="6376" max="6376" width="34.140625" style="51" customWidth="1"/>
    <col min="6377" max="6377" width="9.28515625" style="51" customWidth="1"/>
    <col min="6378" max="6379" width="12.140625" style="51" customWidth="1"/>
    <col min="6380" max="6390" width="9.85546875" style="51" customWidth="1"/>
    <col min="6391" max="6391" width="11.5703125" style="51" customWidth="1"/>
    <col min="6392" max="6392" width="12.7109375" style="51" customWidth="1"/>
    <col min="6393" max="6393" width="9.140625" style="51"/>
    <col min="6394" max="6394" width="11.42578125" style="51" customWidth="1"/>
    <col min="6395" max="6628" width="9.140625" style="51"/>
    <col min="6629" max="6629" width="3.140625" style="51" customWidth="1"/>
    <col min="6630" max="6630" width="6.140625" style="51" customWidth="1"/>
    <col min="6631" max="6631" width="10.28515625" style="51" customWidth="1"/>
    <col min="6632" max="6632" width="34.140625" style="51" customWidth="1"/>
    <col min="6633" max="6633" width="9.28515625" style="51" customWidth="1"/>
    <col min="6634" max="6635" width="12.140625" style="51" customWidth="1"/>
    <col min="6636" max="6646" width="9.85546875" style="51" customWidth="1"/>
    <col min="6647" max="6647" width="11.5703125" style="51" customWidth="1"/>
    <col min="6648" max="6648" width="12.7109375" style="51" customWidth="1"/>
    <col min="6649" max="6649" width="9.140625" style="51"/>
    <col min="6650" max="6650" width="11.42578125" style="51" customWidth="1"/>
    <col min="6651" max="6884" width="9.140625" style="51"/>
    <col min="6885" max="6885" width="3.140625" style="51" customWidth="1"/>
    <col min="6886" max="6886" width="6.140625" style="51" customWidth="1"/>
    <col min="6887" max="6887" width="10.28515625" style="51" customWidth="1"/>
    <col min="6888" max="6888" width="34.140625" style="51" customWidth="1"/>
    <col min="6889" max="6889" width="9.28515625" style="51" customWidth="1"/>
    <col min="6890" max="6891" width="12.140625" style="51" customWidth="1"/>
    <col min="6892" max="6902" width="9.85546875" style="51" customWidth="1"/>
    <col min="6903" max="6903" width="11.5703125" style="51" customWidth="1"/>
    <col min="6904" max="6904" width="12.7109375" style="51" customWidth="1"/>
    <col min="6905" max="6905" width="9.140625" style="51"/>
    <col min="6906" max="6906" width="11.42578125" style="51" customWidth="1"/>
    <col min="6907" max="7140" width="9.140625" style="51"/>
    <col min="7141" max="7141" width="3.140625" style="51" customWidth="1"/>
    <col min="7142" max="7142" width="6.140625" style="51" customWidth="1"/>
    <col min="7143" max="7143" width="10.28515625" style="51" customWidth="1"/>
    <col min="7144" max="7144" width="34.140625" style="51" customWidth="1"/>
    <col min="7145" max="7145" width="9.28515625" style="51" customWidth="1"/>
    <col min="7146" max="7147" width="12.140625" style="51" customWidth="1"/>
    <col min="7148" max="7158" width="9.85546875" style="51" customWidth="1"/>
    <col min="7159" max="7159" width="11.5703125" style="51" customWidth="1"/>
    <col min="7160" max="7160" width="12.7109375" style="51" customWidth="1"/>
    <col min="7161" max="7161" width="9.140625" style="51"/>
    <col min="7162" max="7162" width="11.42578125" style="51" customWidth="1"/>
    <col min="7163" max="7396" width="9.140625" style="51"/>
    <col min="7397" max="7397" width="3.140625" style="51" customWidth="1"/>
    <col min="7398" max="7398" width="6.140625" style="51" customWidth="1"/>
    <col min="7399" max="7399" width="10.28515625" style="51" customWidth="1"/>
    <col min="7400" max="7400" width="34.140625" style="51" customWidth="1"/>
    <col min="7401" max="7401" width="9.28515625" style="51" customWidth="1"/>
    <col min="7402" max="7403" width="12.140625" style="51" customWidth="1"/>
    <col min="7404" max="7414" width="9.85546875" style="51" customWidth="1"/>
    <col min="7415" max="7415" width="11.5703125" style="51" customWidth="1"/>
    <col min="7416" max="7416" width="12.7109375" style="51" customWidth="1"/>
    <col min="7417" max="7417" width="9.140625" style="51"/>
    <col min="7418" max="7418" width="11.42578125" style="51" customWidth="1"/>
    <col min="7419" max="7652" width="9.140625" style="51"/>
    <col min="7653" max="7653" width="3.140625" style="51" customWidth="1"/>
    <col min="7654" max="7654" width="6.140625" style="51" customWidth="1"/>
    <col min="7655" max="7655" width="10.28515625" style="51" customWidth="1"/>
    <col min="7656" max="7656" width="34.140625" style="51" customWidth="1"/>
    <col min="7657" max="7657" width="9.28515625" style="51" customWidth="1"/>
    <col min="7658" max="7659" width="12.140625" style="51" customWidth="1"/>
    <col min="7660" max="7670" width="9.85546875" style="51" customWidth="1"/>
    <col min="7671" max="7671" width="11.5703125" style="51" customWidth="1"/>
    <col min="7672" max="7672" width="12.7109375" style="51" customWidth="1"/>
    <col min="7673" max="7673" width="9.140625" style="51"/>
    <col min="7674" max="7674" width="11.42578125" style="51" customWidth="1"/>
    <col min="7675" max="7908" width="9.140625" style="51"/>
    <col min="7909" max="7909" width="3.140625" style="51" customWidth="1"/>
    <col min="7910" max="7910" width="6.140625" style="51" customWidth="1"/>
    <col min="7911" max="7911" width="10.28515625" style="51" customWidth="1"/>
    <col min="7912" max="7912" width="34.140625" style="51" customWidth="1"/>
    <col min="7913" max="7913" width="9.28515625" style="51" customWidth="1"/>
    <col min="7914" max="7915" width="12.140625" style="51" customWidth="1"/>
    <col min="7916" max="7926" width="9.85546875" style="51" customWidth="1"/>
    <col min="7927" max="7927" width="11.5703125" style="51" customWidth="1"/>
    <col min="7928" max="7928" width="12.7109375" style="51" customWidth="1"/>
    <col min="7929" max="7929" width="9.140625" style="51"/>
    <col min="7930" max="7930" width="11.42578125" style="51" customWidth="1"/>
    <col min="7931" max="8164" width="9.140625" style="51"/>
    <col min="8165" max="8165" width="3.140625" style="51" customWidth="1"/>
    <col min="8166" max="8166" width="6.140625" style="51" customWidth="1"/>
    <col min="8167" max="8167" width="10.28515625" style="51" customWidth="1"/>
    <col min="8168" max="8168" width="34.140625" style="51" customWidth="1"/>
    <col min="8169" max="8169" width="9.28515625" style="51" customWidth="1"/>
    <col min="8170" max="8171" width="12.140625" style="51" customWidth="1"/>
    <col min="8172" max="8182" width="9.85546875" style="51" customWidth="1"/>
    <col min="8183" max="8183" width="11.5703125" style="51" customWidth="1"/>
    <col min="8184" max="8184" width="12.7109375" style="51" customWidth="1"/>
    <col min="8185" max="8185" width="9.140625" style="51"/>
    <col min="8186" max="8186" width="11.42578125" style="51" customWidth="1"/>
    <col min="8187" max="8420" width="9.140625" style="51"/>
    <col min="8421" max="8421" width="3.140625" style="51" customWidth="1"/>
    <col min="8422" max="8422" width="6.140625" style="51" customWidth="1"/>
    <col min="8423" max="8423" width="10.28515625" style="51" customWidth="1"/>
    <col min="8424" max="8424" width="34.140625" style="51" customWidth="1"/>
    <col min="8425" max="8425" width="9.28515625" style="51" customWidth="1"/>
    <col min="8426" max="8427" width="12.140625" style="51" customWidth="1"/>
    <col min="8428" max="8438" width="9.85546875" style="51" customWidth="1"/>
    <col min="8439" max="8439" width="11.5703125" style="51" customWidth="1"/>
    <col min="8440" max="8440" width="12.7109375" style="51" customWidth="1"/>
    <col min="8441" max="8441" width="9.140625" style="51"/>
    <col min="8442" max="8442" width="11.42578125" style="51" customWidth="1"/>
    <col min="8443" max="8676" width="9.140625" style="51"/>
    <col min="8677" max="8677" width="3.140625" style="51" customWidth="1"/>
    <col min="8678" max="8678" width="6.140625" style="51" customWidth="1"/>
    <col min="8679" max="8679" width="10.28515625" style="51" customWidth="1"/>
    <col min="8680" max="8680" width="34.140625" style="51" customWidth="1"/>
    <col min="8681" max="8681" width="9.28515625" style="51" customWidth="1"/>
    <col min="8682" max="8683" width="12.140625" style="51" customWidth="1"/>
    <col min="8684" max="8694" width="9.85546875" style="51" customWidth="1"/>
    <col min="8695" max="8695" width="11.5703125" style="51" customWidth="1"/>
    <col min="8696" max="8696" width="12.7109375" style="51" customWidth="1"/>
    <col min="8697" max="8697" width="9.140625" style="51"/>
    <col min="8698" max="8698" width="11.42578125" style="51" customWidth="1"/>
    <col min="8699" max="8932" width="9.140625" style="51"/>
    <col min="8933" max="8933" width="3.140625" style="51" customWidth="1"/>
    <col min="8934" max="8934" width="6.140625" style="51" customWidth="1"/>
    <col min="8935" max="8935" width="10.28515625" style="51" customWidth="1"/>
    <col min="8936" max="8936" width="34.140625" style="51" customWidth="1"/>
    <col min="8937" max="8937" width="9.28515625" style="51" customWidth="1"/>
    <col min="8938" max="8939" width="12.140625" style="51" customWidth="1"/>
    <col min="8940" max="8950" width="9.85546875" style="51" customWidth="1"/>
    <col min="8951" max="8951" width="11.5703125" style="51" customWidth="1"/>
    <col min="8952" max="8952" width="12.7109375" style="51" customWidth="1"/>
    <col min="8953" max="8953" width="9.140625" style="51"/>
    <col min="8954" max="8954" width="11.42578125" style="51" customWidth="1"/>
    <col min="8955" max="9188" width="9.140625" style="51"/>
    <col min="9189" max="9189" width="3.140625" style="51" customWidth="1"/>
    <col min="9190" max="9190" width="6.140625" style="51" customWidth="1"/>
    <col min="9191" max="9191" width="10.28515625" style="51" customWidth="1"/>
    <col min="9192" max="9192" width="34.140625" style="51" customWidth="1"/>
    <col min="9193" max="9193" width="9.28515625" style="51" customWidth="1"/>
    <col min="9194" max="9195" width="12.140625" style="51" customWidth="1"/>
    <col min="9196" max="9206" width="9.85546875" style="51" customWidth="1"/>
    <col min="9207" max="9207" width="11.5703125" style="51" customWidth="1"/>
    <col min="9208" max="9208" width="12.7109375" style="51" customWidth="1"/>
    <col min="9209" max="9209" width="9.140625" style="51"/>
    <col min="9210" max="9210" width="11.42578125" style="51" customWidth="1"/>
    <col min="9211" max="9444" width="9.140625" style="51"/>
    <col min="9445" max="9445" width="3.140625" style="51" customWidth="1"/>
    <col min="9446" max="9446" width="6.140625" style="51" customWidth="1"/>
    <col min="9447" max="9447" width="10.28515625" style="51" customWidth="1"/>
    <col min="9448" max="9448" width="34.140625" style="51" customWidth="1"/>
    <col min="9449" max="9449" width="9.28515625" style="51" customWidth="1"/>
    <col min="9450" max="9451" width="12.140625" style="51" customWidth="1"/>
    <col min="9452" max="9462" width="9.85546875" style="51" customWidth="1"/>
    <col min="9463" max="9463" width="11.5703125" style="51" customWidth="1"/>
    <col min="9464" max="9464" width="12.7109375" style="51" customWidth="1"/>
    <col min="9465" max="9465" width="9.140625" style="51"/>
    <col min="9466" max="9466" width="11.42578125" style="51" customWidth="1"/>
    <col min="9467" max="9700" width="9.140625" style="51"/>
    <col min="9701" max="9701" width="3.140625" style="51" customWidth="1"/>
    <col min="9702" max="9702" width="6.140625" style="51" customWidth="1"/>
    <col min="9703" max="9703" width="10.28515625" style="51" customWidth="1"/>
    <col min="9704" max="9704" width="34.140625" style="51" customWidth="1"/>
    <col min="9705" max="9705" width="9.28515625" style="51" customWidth="1"/>
    <col min="9706" max="9707" width="12.140625" style="51" customWidth="1"/>
    <col min="9708" max="9718" width="9.85546875" style="51" customWidth="1"/>
    <col min="9719" max="9719" width="11.5703125" style="51" customWidth="1"/>
    <col min="9720" max="9720" width="12.7109375" style="51" customWidth="1"/>
    <col min="9721" max="9721" width="9.140625" style="51"/>
    <col min="9722" max="9722" width="11.42578125" style="51" customWidth="1"/>
    <col min="9723" max="9956" width="9.140625" style="51"/>
    <col min="9957" max="9957" width="3.140625" style="51" customWidth="1"/>
    <col min="9958" max="9958" width="6.140625" style="51" customWidth="1"/>
    <col min="9959" max="9959" width="10.28515625" style="51" customWidth="1"/>
    <col min="9960" max="9960" width="34.140625" style="51" customWidth="1"/>
    <col min="9961" max="9961" width="9.28515625" style="51" customWidth="1"/>
    <col min="9962" max="9963" width="12.140625" style="51" customWidth="1"/>
    <col min="9964" max="9974" width="9.85546875" style="51" customWidth="1"/>
    <col min="9975" max="9975" width="11.5703125" style="51" customWidth="1"/>
    <col min="9976" max="9976" width="12.7109375" style="51" customWidth="1"/>
    <col min="9977" max="9977" width="9.140625" style="51"/>
    <col min="9978" max="9978" width="11.42578125" style="51" customWidth="1"/>
    <col min="9979" max="10212" width="9.140625" style="51"/>
    <col min="10213" max="10213" width="3.140625" style="51" customWidth="1"/>
    <col min="10214" max="10214" width="6.140625" style="51" customWidth="1"/>
    <col min="10215" max="10215" width="10.28515625" style="51" customWidth="1"/>
    <col min="10216" max="10216" width="34.140625" style="51" customWidth="1"/>
    <col min="10217" max="10217" width="9.28515625" style="51" customWidth="1"/>
    <col min="10218" max="10219" width="12.140625" style="51" customWidth="1"/>
    <col min="10220" max="10230" width="9.85546875" style="51" customWidth="1"/>
    <col min="10231" max="10231" width="11.5703125" style="51" customWidth="1"/>
    <col min="10232" max="10232" width="12.7109375" style="51" customWidth="1"/>
    <col min="10233" max="10233" width="9.140625" style="51"/>
    <col min="10234" max="10234" width="11.42578125" style="51" customWidth="1"/>
    <col min="10235" max="10468" width="9.140625" style="51"/>
    <col min="10469" max="10469" width="3.140625" style="51" customWidth="1"/>
    <col min="10470" max="10470" width="6.140625" style="51" customWidth="1"/>
    <col min="10471" max="10471" width="10.28515625" style="51" customWidth="1"/>
    <col min="10472" max="10472" width="34.140625" style="51" customWidth="1"/>
    <col min="10473" max="10473" width="9.28515625" style="51" customWidth="1"/>
    <col min="10474" max="10475" width="12.140625" style="51" customWidth="1"/>
    <col min="10476" max="10486" width="9.85546875" style="51" customWidth="1"/>
    <col min="10487" max="10487" width="11.5703125" style="51" customWidth="1"/>
    <col min="10488" max="10488" width="12.7109375" style="51" customWidth="1"/>
    <col min="10489" max="10489" width="9.140625" style="51"/>
    <col min="10490" max="10490" width="11.42578125" style="51" customWidth="1"/>
    <col min="10491" max="10724" width="9.140625" style="51"/>
    <col min="10725" max="10725" width="3.140625" style="51" customWidth="1"/>
    <col min="10726" max="10726" width="6.140625" style="51" customWidth="1"/>
    <col min="10727" max="10727" width="10.28515625" style="51" customWidth="1"/>
    <col min="10728" max="10728" width="34.140625" style="51" customWidth="1"/>
    <col min="10729" max="10729" width="9.28515625" style="51" customWidth="1"/>
    <col min="10730" max="10731" width="12.140625" style="51" customWidth="1"/>
    <col min="10732" max="10742" width="9.85546875" style="51" customWidth="1"/>
    <col min="10743" max="10743" width="11.5703125" style="51" customWidth="1"/>
    <col min="10744" max="10744" width="12.7109375" style="51" customWidth="1"/>
    <col min="10745" max="10745" width="9.140625" style="51"/>
    <col min="10746" max="10746" width="11.42578125" style="51" customWidth="1"/>
    <col min="10747" max="10980" width="9.140625" style="51"/>
    <col min="10981" max="10981" width="3.140625" style="51" customWidth="1"/>
    <col min="10982" max="10982" width="6.140625" style="51" customWidth="1"/>
    <col min="10983" max="10983" width="10.28515625" style="51" customWidth="1"/>
    <col min="10984" max="10984" width="34.140625" style="51" customWidth="1"/>
    <col min="10985" max="10985" width="9.28515625" style="51" customWidth="1"/>
    <col min="10986" max="10987" width="12.140625" style="51" customWidth="1"/>
    <col min="10988" max="10998" width="9.85546875" style="51" customWidth="1"/>
    <col min="10999" max="10999" width="11.5703125" style="51" customWidth="1"/>
    <col min="11000" max="11000" width="12.7109375" style="51" customWidth="1"/>
    <col min="11001" max="11001" width="9.140625" style="51"/>
    <col min="11002" max="11002" width="11.42578125" style="51" customWidth="1"/>
    <col min="11003" max="11236" width="9.140625" style="51"/>
    <col min="11237" max="11237" width="3.140625" style="51" customWidth="1"/>
    <col min="11238" max="11238" width="6.140625" style="51" customWidth="1"/>
    <col min="11239" max="11239" width="10.28515625" style="51" customWidth="1"/>
    <col min="11240" max="11240" width="34.140625" style="51" customWidth="1"/>
    <col min="11241" max="11241" width="9.28515625" style="51" customWidth="1"/>
    <col min="11242" max="11243" width="12.140625" style="51" customWidth="1"/>
    <col min="11244" max="11254" width="9.85546875" style="51" customWidth="1"/>
    <col min="11255" max="11255" width="11.5703125" style="51" customWidth="1"/>
    <col min="11256" max="11256" width="12.7109375" style="51" customWidth="1"/>
    <col min="11257" max="11257" width="9.140625" style="51"/>
    <col min="11258" max="11258" width="11.42578125" style="51" customWidth="1"/>
    <col min="11259" max="11492" width="9.140625" style="51"/>
    <col min="11493" max="11493" width="3.140625" style="51" customWidth="1"/>
    <col min="11494" max="11494" width="6.140625" style="51" customWidth="1"/>
    <col min="11495" max="11495" width="10.28515625" style="51" customWidth="1"/>
    <col min="11496" max="11496" width="34.140625" style="51" customWidth="1"/>
    <col min="11497" max="11497" width="9.28515625" style="51" customWidth="1"/>
    <col min="11498" max="11499" width="12.140625" style="51" customWidth="1"/>
    <col min="11500" max="11510" width="9.85546875" style="51" customWidth="1"/>
    <col min="11511" max="11511" width="11.5703125" style="51" customWidth="1"/>
    <col min="11512" max="11512" width="12.7109375" style="51" customWidth="1"/>
    <col min="11513" max="11513" width="9.140625" style="51"/>
    <col min="11514" max="11514" width="11.42578125" style="51" customWidth="1"/>
    <col min="11515" max="11748" width="9.140625" style="51"/>
    <col min="11749" max="11749" width="3.140625" style="51" customWidth="1"/>
    <col min="11750" max="11750" width="6.140625" style="51" customWidth="1"/>
    <col min="11751" max="11751" width="10.28515625" style="51" customWidth="1"/>
    <col min="11752" max="11752" width="34.140625" style="51" customWidth="1"/>
    <col min="11753" max="11753" width="9.28515625" style="51" customWidth="1"/>
    <col min="11754" max="11755" width="12.140625" style="51" customWidth="1"/>
    <col min="11756" max="11766" width="9.85546875" style="51" customWidth="1"/>
    <col min="11767" max="11767" width="11.5703125" style="51" customWidth="1"/>
    <col min="11768" max="11768" width="12.7109375" style="51" customWidth="1"/>
    <col min="11769" max="11769" width="9.140625" style="51"/>
    <col min="11770" max="11770" width="11.42578125" style="51" customWidth="1"/>
    <col min="11771" max="12004" width="9.140625" style="51"/>
    <col min="12005" max="12005" width="3.140625" style="51" customWidth="1"/>
    <col min="12006" max="12006" width="6.140625" style="51" customWidth="1"/>
    <col min="12007" max="12007" width="10.28515625" style="51" customWidth="1"/>
    <col min="12008" max="12008" width="34.140625" style="51" customWidth="1"/>
    <col min="12009" max="12009" width="9.28515625" style="51" customWidth="1"/>
    <col min="12010" max="12011" width="12.140625" style="51" customWidth="1"/>
    <col min="12012" max="12022" width="9.85546875" style="51" customWidth="1"/>
    <col min="12023" max="12023" width="11.5703125" style="51" customWidth="1"/>
    <col min="12024" max="12024" width="12.7109375" style="51" customWidth="1"/>
    <col min="12025" max="12025" width="9.140625" style="51"/>
    <col min="12026" max="12026" width="11.42578125" style="51" customWidth="1"/>
    <col min="12027" max="12260" width="9.140625" style="51"/>
    <col min="12261" max="12261" width="3.140625" style="51" customWidth="1"/>
    <col min="12262" max="12262" width="6.140625" style="51" customWidth="1"/>
    <col min="12263" max="12263" width="10.28515625" style="51" customWidth="1"/>
    <col min="12264" max="12264" width="34.140625" style="51" customWidth="1"/>
    <col min="12265" max="12265" width="9.28515625" style="51" customWidth="1"/>
    <col min="12266" max="12267" width="12.140625" style="51" customWidth="1"/>
    <col min="12268" max="12278" width="9.85546875" style="51" customWidth="1"/>
    <col min="12279" max="12279" width="11.5703125" style="51" customWidth="1"/>
    <col min="12280" max="12280" width="12.7109375" style="51" customWidth="1"/>
    <col min="12281" max="12281" width="9.140625" style="51"/>
    <col min="12282" max="12282" width="11.42578125" style="51" customWidth="1"/>
    <col min="12283" max="12516" width="9.140625" style="51"/>
    <col min="12517" max="12517" width="3.140625" style="51" customWidth="1"/>
    <col min="12518" max="12518" width="6.140625" style="51" customWidth="1"/>
    <col min="12519" max="12519" width="10.28515625" style="51" customWidth="1"/>
    <col min="12520" max="12520" width="34.140625" style="51" customWidth="1"/>
    <col min="12521" max="12521" width="9.28515625" style="51" customWidth="1"/>
    <col min="12522" max="12523" width="12.140625" style="51" customWidth="1"/>
    <col min="12524" max="12534" width="9.85546875" style="51" customWidth="1"/>
    <col min="12535" max="12535" width="11.5703125" style="51" customWidth="1"/>
    <col min="12536" max="12536" width="12.7109375" style="51" customWidth="1"/>
    <col min="12537" max="12537" width="9.140625" style="51"/>
    <col min="12538" max="12538" width="11.42578125" style="51" customWidth="1"/>
    <col min="12539" max="12772" width="9.140625" style="51"/>
    <col min="12773" max="12773" width="3.140625" style="51" customWidth="1"/>
    <col min="12774" max="12774" width="6.140625" style="51" customWidth="1"/>
    <col min="12775" max="12775" width="10.28515625" style="51" customWidth="1"/>
    <col min="12776" max="12776" width="34.140625" style="51" customWidth="1"/>
    <col min="12777" max="12777" width="9.28515625" style="51" customWidth="1"/>
    <col min="12778" max="12779" width="12.140625" style="51" customWidth="1"/>
    <col min="12780" max="12790" width="9.85546875" style="51" customWidth="1"/>
    <col min="12791" max="12791" width="11.5703125" style="51" customWidth="1"/>
    <col min="12792" max="12792" width="12.7109375" style="51" customWidth="1"/>
    <col min="12793" max="12793" width="9.140625" style="51"/>
    <col min="12794" max="12794" width="11.42578125" style="51" customWidth="1"/>
    <col min="12795" max="13028" width="9.140625" style="51"/>
    <col min="13029" max="13029" width="3.140625" style="51" customWidth="1"/>
    <col min="13030" max="13030" width="6.140625" style="51" customWidth="1"/>
    <col min="13031" max="13031" width="10.28515625" style="51" customWidth="1"/>
    <col min="13032" max="13032" width="34.140625" style="51" customWidth="1"/>
    <col min="13033" max="13033" width="9.28515625" style="51" customWidth="1"/>
    <col min="13034" max="13035" width="12.140625" style="51" customWidth="1"/>
    <col min="13036" max="13046" width="9.85546875" style="51" customWidth="1"/>
    <col min="13047" max="13047" width="11.5703125" style="51" customWidth="1"/>
    <col min="13048" max="13048" width="12.7109375" style="51" customWidth="1"/>
    <col min="13049" max="13049" width="9.140625" style="51"/>
    <col min="13050" max="13050" width="11.42578125" style="51" customWidth="1"/>
    <col min="13051" max="13284" width="9.140625" style="51"/>
    <col min="13285" max="13285" width="3.140625" style="51" customWidth="1"/>
    <col min="13286" max="13286" width="6.140625" style="51" customWidth="1"/>
    <col min="13287" max="13287" width="10.28515625" style="51" customWidth="1"/>
    <col min="13288" max="13288" width="34.140625" style="51" customWidth="1"/>
    <col min="13289" max="13289" width="9.28515625" style="51" customWidth="1"/>
    <col min="13290" max="13291" width="12.140625" style="51" customWidth="1"/>
    <col min="13292" max="13302" width="9.85546875" style="51" customWidth="1"/>
    <col min="13303" max="13303" width="11.5703125" style="51" customWidth="1"/>
    <col min="13304" max="13304" width="12.7109375" style="51" customWidth="1"/>
    <col min="13305" max="13305" width="9.140625" style="51"/>
    <col min="13306" max="13306" width="11.42578125" style="51" customWidth="1"/>
    <col min="13307" max="13540" width="9.140625" style="51"/>
    <col min="13541" max="13541" width="3.140625" style="51" customWidth="1"/>
    <col min="13542" max="13542" width="6.140625" style="51" customWidth="1"/>
    <col min="13543" max="13543" width="10.28515625" style="51" customWidth="1"/>
    <col min="13544" max="13544" width="34.140625" style="51" customWidth="1"/>
    <col min="13545" max="13545" width="9.28515625" style="51" customWidth="1"/>
    <col min="13546" max="13547" width="12.140625" style="51" customWidth="1"/>
    <col min="13548" max="13558" width="9.85546875" style="51" customWidth="1"/>
    <col min="13559" max="13559" width="11.5703125" style="51" customWidth="1"/>
    <col min="13560" max="13560" width="12.7109375" style="51" customWidth="1"/>
    <col min="13561" max="13561" width="9.140625" style="51"/>
    <col min="13562" max="13562" width="11.42578125" style="51" customWidth="1"/>
    <col min="13563" max="13796" width="9.140625" style="51"/>
    <col min="13797" max="13797" width="3.140625" style="51" customWidth="1"/>
    <col min="13798" max="13798" width="6.140625" style="51" customWidth="1"/>
    <col min="13799" max="13799" width="10.28515625" style="51" customWidth="1"/>
    <col min="13800" max="13800" width="34.140625" style="51" customWidth="1"/>
    <col min="13801" max="13801" width="9.28515625" style="51" customWidth="1"/>
    <col min="13802" max="13803" width="12.140625" style="51" customWidth="1"/>
    <col min="13804" max="13814" width="9.85546875" style="51" customWidth="1"/>
    <col min="13815" max="13815" width="11.5703125" style="51" customWidth="1"/>
    <col min="13816" max="13816" width="12.7109375" style="51" customWidth="1"/>
    <col min="13817" max="13817" width="9.140625" style="51"/>
    <col min="13818" max="13818" width="11.42578125" style="51" customWidth="1"/>
    <col min="13819" max="14052" width="9.140625" style="51"/>
    <col min="14053" max="14053" width="3.140625" style="51" customWidth="1"/>
    <col min="14054" max="14054" width="6.140625" style="51" customWidth="1"/>
    <col min="14055" max="14055" width="10.28515625" style="51" customWidth="1"/>
    <col min="14056" max="14056" width="34.140625" style="51" customWidth="1"/>
    <col min="14057" max="14057" width="9.28515625" style="51" customWidth="1"/>
    <col min="14058" max="14059" width="12.140625" style="51" customWidth="1"/>
    <col min="14060" max="14070" width="9.85546875" style="51" customWidth="1"/>
    <col min="14071" max="14071" width="11.5703125" style="51" customWidth="1"/>
    <col min="14072" max="14072" width="12.7109375" style="51" customWidth="1"/>
    <col min="14073" max="14073" width="9.140625" style="51"/>
    <col min="14074" max="14074" width="11.42578125" style="51" customWidth="1"/>
    <col min="14075" max="14308" width="9.140625" style="51"/>
    <col min="14309" max="14309" width="3.140625" style="51" customWidth="1"/>
    <col min="14310" max="14310" width="6.140625" style="51" customWidth="1"/>
    <col min="14311" max="14311" width="10.28515625" style="51" customWidth="1"/>
    <col min="14312" max="14312" width="34.140625" style="51" customWidth="1"/>
    <col min="14313" max="14313" width="9.28515625" style="51" customWidth="1"/>
    <col min="14314" max="14315" width="12.140625" style="51" customWidth="1"/>
    <col min="14316" max="14326" width="9.85546875" style="51" customWidth="1"/>
    <col min="14327" max="14327" width="11.5703125" style="51" customWidth="1"/>
    <col min="14328" max="14328" width="12.7109375" style="51" customWidth="1"/>
    <col min="14329" max="14329" width="9.140625" style="51"/>
    <col min="14330" max="14330" width="11.42578125" style="51" customWidth="1"/>
    <col min="14331" max="14564" width="9.140625" style="51"/>
    <col min="14565" max="14565" width="3.140625" style="51" customWidth="1"/>
    <col min="14566" max="14566" width="6.140625" style="51" customWidth="1"/>
    <col min="14567" max="14567" width="10.28515625" style="51" customWidth="1"/>
    <col min="14568" max="14568" width="34.140625" style="51" customWidth="1"/>
    <col min="14569" max="14569" width="9.28515625" style="51" customWidth="1"/>
    <col min="14570" max="14571" width="12.140625" style="51" customWidth="1"/>
    <col min="14572" max="14582" width="9.85546875" style="51" customWidth="1"/>
    <col min="14583" max="14583" width="11.5703125" style="51" customWidth="1"/>
    <col min="14584" max="14584" width="12.7109375" style="51" customWidth="1"/>
    <col min="14585" max="14585" width="9.140625" style="51"/>
    <col min="14586" max="14586" width="11.42578125" style="51" customWidth="1"/>
    <col min="14587" max="14820" width="9.140625" style="51"/>
    <col min="14821" max="14821" width="3.140625" style="51" customWidth="1"/>
    <col min="14822" max="14822" width="6.140625" style="51" customWidth="1"/>
    <col min="14823" max="14823" width="10.28515625" style="51" customWidth="1"/>
    <col min="14824" max="14824" width="34.140625" style="51" customWidth="1"/>
    <col min="14825" max="14825" width="9.28515625" style="51" customWidth="1"/>
    <col min="14826" max="14827" width="12.140625" style="51" customWidth="1"/>
    <col min="14828" max="14838" width="9.85546875" style="51" customWidth="1"/>
    <col min="14839" max="14839" width="11.5703125" style="51" customWidth="1"/>
    <col min="14840" max="14840" width="12.7109375" style="51" customWidth="1"/>
    <col min="14841" max="14841" width="9.140625" style="51"/>
    <col min="14842" max="14842" width="11.42578125" style="51" customWidth="1"/>
    <col min="14843" max="15076" width="9.140625" style="51"/>
    <col min="15077" max="15077" width="3.140625" style="51" customWidth="1"/>
    <col min="15078" max="15078" width="6.140625" style="51" customWidth="1"/>
    <col min="15079" max="15079" width="10.28515625" style="51" customWidth="1"/>
    <col min="15080" max="15080" width="34.140625" style="51" customWidth="1"/>
    <col min="15081" max="15081" width="9.28515625" style="51" customWidth="1"/>
    <col min="15082" max="15083" width="12.140625" style="51" customWidth="1"/>
    <col min="15084" max="15094" width="9.85546875" style="51" customWidth="1"/>
    <col min="15095" max="15095" width="11.5703125" style="51" customWidth="1"/>
    <col min="15096" max="15096" width="12.7109375" style="51" customWidth="1"/>
    <col min="15097" max="15097" width="9.140625" style="51"/>
    <col min="15098" max="15098" width="11.42578125" style="51" customWidth="1"/>
    <col min="15099" max="15332" width="9.140625" style="51"/>
    <col min="15333" max="15333" width="3.140625" style="51" customWidth="1"/>
    <col min="15334" max="15334" width="6.140625" style="51" customWidth="1"/>
    <col min="15335" max="15335" width="10.28515625" style="51" customWidth="1"/>
    <col min="15336" max="15336" width="34.140625" style="51" customWidth="1"/>
    <col min="15337" max="15337" width="9.28515625" style="51" customWidth="1"/>
    <col min="15338" max="15339" width="12.140625" style="51" customWidth="1"/>
    <col min="15340" max="15350" width="9.85546875" style="51" customWidth="1"/>
    <col min="15351" max="15351" width="11.5703125" style="51" customWidth="1"/>
    <col min="15352" max="15352" width="12.7109375" style="51" customWidth="1"/>
    <col min="15353" max="15353" width="9.140625" style="51"/>
    <col min="15354" max="15354" width="11.42578125" style="51" customWidth="1"/>
    <col min="15355" max="15588" width="9.140625" style="51"/>
    <col min="15589" max="15589" width="3.140625" style="51" customWidth="1"/>
    <col min="15590" max="15590" width="6.140625" style="51" customWidth="1"/>
    <col min="15591" max="15591" width="10.28515625" style="51" customWidth="1"/>
    <col min="15592" max="15592" width="34.140625" style="51" customWidth="1"/>
    <col min="15593" max="15593" width="9.28515625" style="51" customWidth="1"/>
    <col min="15594" max="15595" width="12.140625" style="51" customWidth="1"/>
    <col min="15596" max="15606" width="9.85546875" style="51" customWidth="1"/>
    <col min="15607" max="15607" width="11.5703125" style="51" customWidth="1"/>
    <col min="15608" max="15608" width="12.7109375" style="51" customWidth="1"/>
    <col min="15609" max="15609" width="9.140625" style="51"/>
    <col min="15610" max="15610" width="11.42578125" style="51" customWidth="1"/>
    <col min="15611" max="15844" width="9.140625" style="51"/>
    <col min="15845" max="15845" width="3.140625" style="51" customWidth="1"/>
    <col min="15846" max="15846" width="6.140625" style="51" customWidth="1"/>
    <col min="15847" max="15847" width="10.28515625" style="51" customWidth="1"/>
    <col min="15848" max="15848" width="34.140625" style="51" customWidth="1"/>
    <col min="15849" max="15849" width="9.28515625" style="51" customWidth="1"/>
    <col min="15850" max="15851" width="12.140625" style="51" customWidth="1"/>
    <col min="15852" max="15862" width="9.85546875" style="51" customWidth="1"/>
    <col min="15863" max="15863" width="11.5703125" style="51" customWidth="1"/>
    <col min="15864" max="15864" width="12.7109375" style="51" customWidth="1"/>
    <col min="15865" max="15865" width="9.140625" style="51"/>
    <col min="15866" max="15866" width="11.42578125" style="51" customWidth="1"/>
    <col min="15867" max="16100" width="9.140625" style="51"/>
    <col min="16101" max="16101" width="3.140625" style="51" customWidth="1"/>
    <col min="16102" max="16102" width="6.140625" style="51" customWidth="1"/>
    <col min="16103" max="16103" width="10.28515625" style="51" customWidth="1"/>
    <col min="16104" max="16104" width="34.140625" style="51" customWidth="1"/>
    <col min="16105" max="16105" width="9.28515625" style="51" customWidth="1"/>
    <col min="16106" max="16107" width="12.140625" style="51" customWidth="1"/>
    <col min="16108" max="16118" width="9.85546875" style="51" customWidth="1"/>
    <col min="16119" max="16119" width="11.5703125" style="51" customWidth="1"/>
    <col min="16120" max="16120" width="12.7109375" style="51" customWidth="1"/>
    <col min="16121" max="16121" width="9.140625" style="51"/>
    <col min="16122" max="16122" width="11.42578125" style="51" customWidth="1"/>
    <col min="16123" max="16384" width="9.140625" style="51"/>
  </cols>
  <sheetData>
    <row r="1" spans="1:6" s="160" customFormat="1" ht="41.25" customHeight="1" x14ac:dyDescent="0.25">
      <c r="B1" s="339" t="s">
        <v>56</v>
      </c>
      <c r="C1" s="339"/>
      <c r="D1" s="339"/>
      <c r="E1" s="339"/>
      <c r="F1" s="339"/>
    </row>
    <row r="2" spans="1:6" s="161" customFormat="1" ht="23.25" x14ac:dyDescent="0.25">
      <c r="A2" s="160"/>
      <c r="B2" s="335" t="s">
        <v>168</v>
      </c>
      <c r="C2" s="335"/>
      <c r="D2" s="335"/>
      <c r="E2" s="335"/>
      <c r="F2" s="335"/>
    </row>
    <row r="3" spans="1:6" s="161" customFormat="1" x14ac:dyDescent="0.25">
      <c r="A3" s="160"/>
      <c r="B3" s="338" t="s">
        <v>11</v>
      </c>
      <c r="C3" s="338" t="s">
        <v>12</v>
      </c>
      <c r="D3" s="338"/>
      <c r="E3" s="338" t="s">
        <v>13</v>
      </c>
      <c r="F3" s="340" t="s">
        <v>14</v>
      </c>
    </row>
    <row r="4" spans="1:6" s="163" customFormat="1" ht="24.75" customHeight="1" x14ac:dyDescent="0.25">
      <c r="A4" s="162"/>
      <c r="B4" s="338"/>
      <c r="C4" s="338"/>
      <c r="D4" s="338"/>
      <c r="E4" s="338"/>
      <c r="F4" s="340"/>
    </row>
    <row r="5" spans="1:6" s="163" customFormat="1" x14ac:dyDescent="0.25">
      <c r="A5" s="162"/>
      <c r="B5" s="164"/>
      <c r="C5" s="338" t="s">
        <v>169</v>
      </c>
      <c r="D5" s="338"/>
      <c r="E5" s="164"/>
      <c r="F5" s="170"/>
    </row>
    <row r="6" spans="1:6" s="166" customFormat="1" ht="36.75" customHeight="1" x14ac:dyDescent="0.25">
      <c r="A6" s="165"/>
      <c r="B6" s="164">
        <v>1</v>
      </c>
      <c r="C6" s="336" t="s">
        <v>170</v>
      </c>
      <c r="D6" s="336"/>
      <c r="E6" s="164" t="s">
        <v>8</v>
      </c>
      <c r="F6" s="170">
        <v>2</v>
      </c>
    </row>
    <row r="7" spans="1:6" s="166" customFormat="1" x14ac:dyDescent="0.25">
      <c r="A7" s="165"/>
      <c r="B7" s="164"/>
      <c r="C7" s="337" t="s">
        <v>171</v>
      </c>
      <c r="D7" s="337"/>
      <c r="E7" s="167" t="s">
        <v>8</v>
      </c>
      <c r="F7" s="171">
        <f>F6</f>
        <v>2</v>
      </c>
    </row>
    <row r="8" spans="1:6" s="166" customFormat="1" x14ac:dyDescent="0.25">
      <c r="A8" s="165"/>
      <c r="B8" s="164"/>
      <c r="C8" s="337" t="s">
        <v>172</v>
      </c>
      <c r="D8" s="337"/>
      <c r="E8" s="167" t="s">
        <v>8</v>
      </c>
      <c r="F8" s="171">
        <f>F6*8</f>
        <v>16</v>
      </c>
    </row>
    <row r="9" spans="1:6" s="166" customFormat="1" x14ac:dyDescent="0.25">
      <c r="A9" s="165"/>
      <c r="B9" s="164"/>
      <c r="C9" s="337" t="s">
        <v>173</v>
      </c>
      <c r="D9" s="337"/>
      <c r="E9" s="167" t="s">
        <v>8</v>
      </c>
      <c r="F9" s="171">
        <f>2*F6</f>
        <v>4</v>
      </c>
    </row>
    <row r="10" spans="1:6" s="166" customFormat="1" ht="45" customHeight="1" x14ac:dyDescent="0.25">
      <c r="A10" s="165"/>
      <c r="B10" s="164">
        <v>2</v>
      </c>
      <c r="C10" s="336" t="s">
        <v>174</v>
      </c>
      <c r="D10" s="336"/>
      <c r="E10" s="164" t="s">
        <v>8</v>
      </c>
      <c r="F10" s="170">
        <v>5</v>
      </c>
    </row>
    <row r="11" spans="1:6" s="166" customFormat="1" x14ac:dyDescent="0.25">
      <c r="A11" s="165"/>
      <c r="B11" s="164"/>
      <c r="C11" s="337" t="s">
        <v>175</v>
      </c>
      <c r="D11" s="337"/>
      <c r="E11" s="167" t="s">
        <v>8</v>
      </c>
      <c r="F11" s="171">
        <f>F10</f>
        <v>5</v>
      </c>
    </row>
    <row r="12" spans="1:6" s="166" customFormat="1" x14ac:dyDescent="0.25">
      <c r="A12" s="165"/>
      <c r="B12" s="164"/>
      <c r="C12" s="337" t="s">
        <v>173</v>
      </c>
      <c r="D12" s="337"/>
      <c r="E12" s="167" t="s">
        <v>8</v>
      </c>
      <c r="F12" s="171">
        <f>F10</f>
        <v>5</v>
      </c>
    </row>
    <row r="13" spans="1:6" s="166" customFormat="1" ht="45" customHeight="1" x14ac:dyDescent="0.25">
      <c r="A13" s="165"/>
      <c r="B13" s="164">
        <v>3</v>
      </c>
      <c r="C13" s="336" t="s">
        <v>176</v>
      </c>
      <c r="D13" s="336"/>
      <c r="E13" s="164" t="s">
        <v>8</v>
      </c>
      <c r="F13" s="170">
        <v>2</v>
      </c>
    </row>
    <row r="14" spans="1:6" s="166" customFormat="1" x14ac:dyDescent="0.25">
      <c r="A14" s="165"/>
      <c r="B14" s="164"/>
      <c r="C14" s="337" t="s">
        <v>175</v>
      </c>
      <c r="D14" s="337"/>
      <c r="E14" s="167" t="s">
        <v>8</v>
      </c>
      <c r="F14" s="171">
        <f>F13</f>
        <v>2</v>
      </c>
    </row>
    <row r="15" spans="1:6" s="166" customFormat="1" x14ac:dyDescent="0.25">
      <c r="A15" s="165"/>
      <c r="B15" s="164"/>
      <c r="C15" s="337" t="s">
        <v>173</v>
      </c>
      <c r="D15" s="337"/>
      <c r="E15" s="167" t="s">
        <v>8</v>
      </c>
      <c r="F15" s="171">
        <f>F13</f>
        <v>2</v>
      </c>
    </row>
    <row r="16" spans="1:6" s="166" customFormat="1" ht="45.75" customHeight="1" x14ac:dyDescent="0.25">
      <c r="A16" s="165"/>
      <c r="B16" s="164">
        <v>4</v>
      </c>
      <c r="C16" s="336" t="s">
        <v>177</v>
      </c>
      <c r="D16" s="336"/>
      <c r="E16" s="164" t="s">
        <v>8</v>
      </c>
      <c r="F16" s="170">
        <v>1</v>
      </c>
    </row>
    <row r="17" spans="1:6" s="166" customFormat="1" x14ac:dyDescent="0.25">
      <c r="A17" s="165"/>
      <c r="B17" s="164"/>
      <c r="C17" s="337" t="s">
        <v>178</v>
      </c>
      <c r="D17" s="337"/>
      <c r="E17" s="167" t="s">
        <v>8</v>
      </c>
      <c r="F17" s="171">
        <f>F16</f>
        <v>1</v>
      </c>
    </row>
    <row r="18" spans="1:6" s="166" customFormat="1" x14ac:dyDescent="0.25">
      <c r="A18" s="165"/>
      <c r="B18" s="164"/>
      <c r="C18" s="337" t="s">
        <v>173</v>
      </c>
      <c r="D18" s="337"/>
      <c r="E18" s="167" t="s">
        <v>8</v>
      </c>
      <c r="F18" s="171">
        <f>F16</f>
        <v>1</v>
      </c>
    </row>
    <row r="19" spans="1:6" s="166" customFormat="1" ht="29.25" customHeight="1" x14ac:dyDescent="0.25">
      <c r="A19" s="165"/>
      <c r="B19" s="164">
        <v>5</v>
      </c>
      <c r="C19" s="336" t="s">
        <v>179</v>
      </c>
      <c r="D19" s="336"/>
      <c r="E19" s="164" t="s">
        <v>8</v>
      </c>
      <c r="F19" s="170">
        <v>1</v>
      </c>
    </row>
    <row r="20" spans="1:6" s="166" customFormat="1" x14ac:dyDescent="0.25">
      <c r="A20" s="165"/>
      <c r="B20" s="164"/>
      <c r="C20" s="337" t="s">
        <v>178</v>
      </c>
      <c r="D20" s="337"/>
      <c r="E20" s="167" t="s">
        <v>8</v>
      </c>
      <c r="F20" s="171">
        <f>F19</f>
        <v>1</v>
      </c>
    </row>
    <row r="21" spans="1:6" s="166" customFormat="1" x14ac:dyDescent="0.25">
      <c r="A21" s="165"/>
      <c r="B21" s="164"/>
      <c r="C21" s="337" t="s">
        <v>173</v>
      </c>
      <c r="D21" s="337"/>
      <c r="E21" s="167" t="s">
        <v>8</v>
      </c>
      <c r="F21" s="171">
        <f>F19</f>
        <v>1</v>
      </c>
    </row>
    <row r="22" spans="1:6" s="166" customFormat="1" x14ac:dyDescent="0.25">
      <c r="A22" s="165"/>
      <c r="B22" s="164">
        <v>6</v>
      </c>
      <c r="C22" s="336" t="s">
        <v>180</v>
      </c>
      <c r="D22" s="336"/>
      <c r="E22" s="164" t="s">
        <v>181</v>
      </c>
      <c r="F22" s="170">
        <v>10.08</v>
      </c>
    </row>
    <row r="23" spans="1:6" s="166" customFormat="1" ht="47.25" customHeight="1" x14ac:dyDescent="0.25">
      <c r="A23" s="165"/>
      <c r="B23" s="164"/>
      <c r="C23" s="337" t="s">
        <v>182</v>
      </c>
      <c r="D23" s="337"/>
      <c r="E23" s="167" t="s">
        <v>7</v>
      </c>
      <c r="F23" s="171">
        <f>F22</f>
        <v>10.08</v>
      </c>
    </row>
    <row r="24" spans="1:6" s="166" customFormat="1" ht="29.25" customHeight="1" x14ac:dyDescent="0.25">
      <c r="A24" s="165"/>
      <c r="B24" s="164">
        <v>7</v>
      </c>
      <c r="C24" s="336" t="s">
        <v>183</v>
      </c>
      <c r="D24" s="336"/>
      <c r="E24" s="164" t="s">
        <v>8</v>
      </c>
      <c r="F24" s="170">
        <v>6</v>
      </c>
    </row>
    <row r="25" spans="1:6" s="166" customFormat="1" ht="18.75" customHeight="1" x14ac:dyDescent="0.25">
      <c r="A25" s="165"/>
      <c r="B25" s="164"/>
      <c r="C25" s="337" t="s">
        <v>184</v>
      </c>
      <c r="D25" s="337"/>
      <c r="E25" s="167" t="s">
        <v>8</v>
      </c>
      <c r="F25" s="171">
        <v>5</v>
      </c>
    </row>
    <row r="26" spans="1:6" s="166" customFormat="1" ht="18.75" customHeight="1" x14ac:dyDescent="0.25">
      <c r="A26" s="165"/>
      <c r="B26" s="164"/>
      <c r="C26" s="337" t="s">
        <v>185</v>
      </c>
      <c r="D26" s="337"/>
      <c r="E26" s="167" t="s">
        <v>8</v>
      </c>
      <c r="F26" s="171">
        <v>1</v>
      </c>
    </row>
    <row r="27" spans="1:6" s="166" customFormat="1" ht="18.75" customHeight="1" x14ac:dyDescent="0.25">
      <c r="A27" s="165"/>
      <c r="B27" s="164"/>
      <c r="C27" s="337" t="s">
        <v>173</v>
      </c>
      <c r="D27" s="337"/>
      <c r="E27" s="167" t="s">
        <v>8</v>
      </c>
      <c r="F27" s="171">
        <f>F24</f>
        <v>6</v>
      </c>
    </row>
    <row r="28" spans="1:6" s="166" customFormat="1" ht="18.75" customHeight="1" x14ac:dyDescent="0.25">
      <c r="A28" s="165"/>
      <c r="B28" s="164"/>
      <c r="C28" s="338" t="s">
        <v>186</v>
      </c>
      <c r="D28" s="338"/>
      <c r="E28" s="167"/>
      <c r="F28" s="171"/>
    </row>
    <row r="29" spans="1:6" s="166" customFormat="1" ht="18.75" customHeight="1" x14ac:dyDescent="0.25">
      <c r="A29" s="165"/>
      <c r="B29" s="164">
        <v>1</v>
      </c>
      <c r="C29" s="336" t="s">
        <v>170</v>
      </c>
      <c r="D29" s="336"/>
      <c r="E29" s="164" t="s">
        <v>8</v>
      </c>
      <c r="F29" s="170">
        <v>3</v>
      </c>
    </row>
    <row r="30" spans="1:6" s="166" customFormat="1" ht="18.75" customHeight="1" x14ac:dyDescent="0.25">
      <c r="A30" s="165"/>
      <c r="B30" s="164"/>
      <c r="C30" s="337" t="s">
        <v>171</v>
      </c>
      <c r="D30" s="337"/>
      <c r="E30" s="167" t="s">
        <v>8</v>
      </c>
      <c r="F30" s="171">
        <f>F29</f>
        <v>3</v>
      </c>
    </row>
    <row r="31" spans="1:6" s="166" customFormat="1" ht="18.75" customHeight="1" x14ac:dyDescent="0.25">
      <c r="A31" s="165"/>
      <c r="B31" s="164"/>
      <c r="C31" s="337" t="s">
        <v>172</v>
      </c>
      <c r="D31" s="337"/>
      <c r="E31" s="167" t="s">
        <v>8</v>
      </c>
      <c r="F31" s="171">
        <f>F29*8</f>
        <v>24</v>
      </c>
    </row>
    <row r="32" spans="1:6" s="166" customFormat="1" ht="18.75" customHeight="1" x14ac:dyDescent="0.25">
      <c r="A32" s="165"/>
      <c r="B32" s="164"/>
      <c r="C32" s="337" t="s">
        <v>173</v>
      </c>
      <c r="D32" s="337"/>
      <c r="E32" s="167" t="s">
        <v>8</v>
      </c>
      <c r="F32" s="171">
        <f>2*F29</f>
        <v>6</v>
      </c>
    </row>
    <row r="33" spans="1:6" s="166" customFormat="1" ht="28.5" customHeight="1" x14ac:dyDescent="0.25">
      <c r="A33" s="165"/>
      <c r="B33" s="164">
        <v>2</v>
      </c>
      <c r="C33" s="336" t="s">
        <v>187</v>
      </c>
      <c r="D33" s="336"/>
      <c r="E33" s="164" t="s">
        <v>8</v>
      </c>
      <c r="F33" s="170">
        <v>2</v>
      </c>
    </row>
    <row r="34" spans="1:6" s="166" customFormat="1" ht="18.75" customHeight="1" x14ac:dyDescent="0.25">
      <c r="A34" s="165"/>
      <c r="B34" s="164"/>
      <c r="C34" s="337" t="s">
        <v>178</v>
      </c>
      <c r="D34" s="337"/>
      <c r="E34" s="167" t="s">
        <v>8</v>
      </c>
      <c r="F34" s="171">
        <f>F33</f>
        <v>2</v>
      </c>
    </row>
    <row r="35" spans="1:6" s="166" customFormat="1" ht="18.75" customHeight="1" x14ac:dyDescent="0.25">
      <c r="A35" s="165"/>
      <c r="B35" s="164"/>
      <c r="C35" s="337" t="s">
        <v>173</v>
      </c>
      <c r="D35" s="337"/>
      <c r="E35" s="167" t="s">
        <v>8</v>
      </c>
      <c r="F35" s="171">
        <f>F33</f>
        <v>2</v>
      </c>
    </row>
    <row r="36" spans="1:6" s="166" customFormat="1" ht="29.25" customHeight="1" x14ac:dyDescent="0.25">
      <c r="A36" s="165"/>
      <c r="B36" s="164">
        <v>3</v>
      </c>
      <c r="C36" s="336" t="s">
        <v>179</v>
      </c>
      <c r="D36" s="336"/>
      <c r="E36" s="164" t="s">
        <v>8</v>
      </c>
      <c r="F36" s="170">
        <v>1</v>
      </c>
    </row>
    <row r="37" spans="1:6" s="166" customFormat="1" ht="18.75" customHeight="1" x14ac:dyDescent="0.25">
      <c r="A37" s="165"/>
      <c r="B37" s="164"/>
      <c r="C37" s="337" t="s">
        <v>178</v>
      </c>
      <c r="D37" s="337"/>
      <c r="E37" s="167" t="s">
        <v>8</v>
      </c>
      <c r="F37" s="171">
        <f>F36</f>
        <v>1</v>
      </c>
    </row>
    <row r="38" spans="1:6" s="166" customFormat="1" ht="18.75" customHeight="1" x14ac:dyDescent="0.25">
      <c r="A38" s="165"/>
      <c r="B38" s="164"/>
      <c r="C38" s="337" t="s">
        <v>173</v>
      </c>
      <c r="D38" s="337"/>
      <c r="E38" s="167" t="s">
        <v>8</v>
      </c>
      <c r="F38" s="171">
        <f>F36</f>
        <v>1</v>
      </c>
    </row>
    <row r="39" spans="1:6" s="166" customFormat="1" ht="45" customHeight="1" x14ac:dyDescent="0.25">
      <c r="A39" s="165"/>
      <c r="B39" s="164">
        <v>4</v>
      </c>
      <c r="C39" s="336" t="s">
        <v>174</v>
      </c>
      <c r="D39" s="336"/>
      <c r="E39" s="164" t="s">
        <v>8</v>
      </c>
      <c r="F39" s="170">
        <v>1</v>
      </c>
    </row>
    <row r="40" spans="1:6" s="166" customFormat="1" ht="30.75" customHeight="1" x14ac:dyDescent="0.25">
      <c r="A40" s="165"/>
      <c r="B40" s="164"/>
      <c r="C40" s="337" t="s">
        <v>188</v>
      </c>
      <c r="D40" s="337"/>
      <c r="E40" s="167" t="s">
        <v>8</v>
      </c>
      <c r="F40" s="171">
        <f>F39</f>
        <v>1</v>
      </c>
    </row>
    <row r="41" spans="1:6" s="166" customFormat="1" ht="18.75" customHeight="1" x14ac:dyDescent="0.25">
      <c r="A41" s="165"/>
      <c r="B41" s="164"/>
      <c r="C41" s="337" t="s">
        <v>173</v>
      </c>
      <c r="D41" s="337"/>
      <c r="E41" s="167" t="s">
        <v>8</v>
      </c>
      <c r="F41" s="171">
        <f>F39</f>
        <v>1</v>
      </c>
    </row>
    <row r="42" spans="1:6" s="166" customFormat="1" ht="45.75" customHeight="1" x14ac:dyDescent="0.25">
      <c r="A42" s="165"/>
      <c r="B42" s="164">
        <v>5</v>
      </c>
      <c r="C42" s="336" t="s">
        <v>176</v>
      </c>
      <c r="D42" s="336"/>
      <c r="E42" s="164" t="s">
        <v>8</v>
      </c>
      <c r="F42" s="170">
        <v>1</v>
      </c>
    </row>
    <row r="43" spans="1:6" s="166" customFormat="1" ht="18.75" customHeight="1" x14ac:dyDescent="0.25">
      <c r="A43" s="165"/>
      <c r="B43" s="164"/>
      <c r="C43" s="337" t="s">
        <v>175</v>
      </c>
      <c r="D43" s="337"/>
      <c r="E43" s="167" t="s">
        <v>8</v>
      </c>
      <c r="F43" s="171">
        <f>F42</f>
        <v>1</v>
      </c>
    </row>
    <row r="44" spans="1:6" s="166" customFormat="1" ht="18.75" customHeight="1" x14ac:dyDescent="0.25">
      <c r="A44" s="165"/>
      <c r="B44" s="164"/>
      <c r="C44" s="337" t="s">
        <v>173</v>
      </c>
      <c r="D44" s="337"/>
      <c r="E44" s="167" t="s">
        <v>8</v>
      </c>
      <c r="F44" s="171">
        <f>F42</f>
        <v>1</v>
      </c>
    </row>
    <row r="45" spans="1:6" s="166" customFormat="1" ht="18.75" customHeight="1" x14ac:dyDescent="0.25">
      <c r="A45" s="165"/>
      <c r="B45" s="164">
        <v>6</v>
      </c>
      <c r="C45" s="336" t="s">
        <v>189</v>
      </c>
      <c r="D45" s="336"/>
      <c r="E45" s="164" t="s">
        <v>181</v>
      </c>
      <c r="F45" s="170">
        <v>5.67</v>
      </c>
    </row>
    <row r="46" spans="1:6" s="166" customFormat="1" ht="65.25" customHeight="1" x14ac:dyDescent="0.25">
      <c r="A46" s="165"/>
      <c r="B46" s="164"/>
      <c r="C46" s="337" t="s">
        <v>190</v>
      </c>
      <c r="D46" s="337"/>
      <c r="E46" s="167" t="s">
        <v>7</v>
      </c>
      <c r="F46" s="171">
        <f>F45</f>
        <v>5.67</v>
      </c>
    </row>
    <row r="47" spans="1:6" s="166" customFormat="1" ht="18.75" customHeight="1" x14ac:dyDescent="0.25">
      <c r="A47" s="165"/>
      <c r="B47" s="164">
        <v>7</v>
      </c>
      <c r="C47" s="336" t="s">
        <v>191</v>
      </c>
      <c r="D47" s="336"/>
      <c r="E47" s="164" t="s">
        <v>181</v>
      </c>
      <c r="F47" s="170">
        <v>73.08</v>
      </c>
    </row>
    <row r="48" spans="1:6" s="166" customFormat="1" ht="29.25" customHeight="1" x14ac:dyDescent="0.25">
      <c r="A48" s="165"/>
      <c r="B48" s="164"/>
      <c r="C48" s="337" t="s">
        <v>182</v>
      </c>
      <c r="D48" s="337"/>
      <c r="E48" s="167" t="s">
        <v>7</v>
      </c>
      <c r="F48" s="171">
        <f>F47</f>
        <v>73.08</v>
      </c>
    </row>
    <row r="49" spans="1:6" s="166" customFormat="1" ht="28.5" customHeight="1" x14ac:dyDescent="0.25">
      <c r="A49" s="165"/>
      <c r="B49" s="164">
        <v>8</v>
      </c>
      <c r="C49" s="336" t="s">
        <v>183</v>
      </c>
      <c r="D49" s="336"/>
      <c r="E49" s="164" t="s">
        <v>8</v>
      </c>
      <c r="F49" s="170">
        <v>20</v>
      </c>
    </row>
    <row r="50" spans="1:6" s="166" customFormat="1" ht="18.75" customHeight="1" x14ac:dyDescent="0.25">
      <c r="A50" s="165"/>
      <c r="B50" s="164"/>
      <c r="C50" s="337" t="s">
        <v>184</v>
      </c>
      <c r="D50" s="337"/>
      <c r="E50" s="167" t="s">
        <v>8</v>
      </c>
      <c r="F50" s="171">
        <f>F49</f>
        <v>20</v>
      </c>
    </row>
    <row r="51" spans="1:6" s="166" customFormat="1" ht="18.75" customHeight="1" x14ac:dyDescent="0.25">
      <c r="A51" s="165"/>
      <c r="B51" s="164"/>
      <c r="C51" s="337" t="s">
        <v>173</v>
      </c>
      <c r="D51" s="337"/>
      <c r="E51" s="167" t="s">
        <v>8</v>
      </c>
      <c r="F51" s="171">
        <f>F49</f>
        <v>20</v>
      </c>
    </row>
    <row r="52" spans="1:6" s="166" customFormat="1" x14ac:dyDescent="0.25">
      <c r="A52" s="165"/>
      <c r="B52" s="164">
        <v>9</v>
      </c>
      <c r="C52" s="336" t="s">
        <v>192</v>
      </c>
      <c r="D52" s="336"/>
      <c r="E52" s="167" t="s">
        <v>181</v>
      </c>
      <c r="F52" s="171">
        <v>18.149999999999999</v>
      </c>
    </row>
    <row r="53" spans="1:6" s="166" customFormat="1" ht="30.75" customHeight="1" x14ac:dyDescent="0.25">
      <c r="A53" s="165"/>
      <c r="B53" s="164"/>
      <c r="C53" s="337" t="s">
        <v>193</v>
      </c>
      <c r="D53" s="337"/>
      <c r="E53" s="167" t="s">
        <v>181</v>
      </c>
      <c r="F53" s="171">
        <f>F52</f>
        <v>18.149999999999999</v>
      </c>
    </row>
  </sheetData>
  <mergeCells count="55">
    <mergeCell ref="C9:D9"/>
    <mergeCell ref="B1:F1"/>
    <mergeCell ref="B3:B4"/>
    <mergeCell ref="C3:D4"/>
    <mergeCell ref="E3:E4"/>
    <mergeCell ref="F3:F4"/>
    <mergeCell ref="C5:D5"/>
    <mergeCell ref="C6:D6"/>
    <mergeCell ref="C7:D7"/>
    <mergeCell ref="C8:D8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0:D40"/>
    <mergeCell ref="C41:D41"/>
    <mergeCell ref="C42:D42"/>
    <mergeCell ref="C43:D43"/>
    <mergeCell ref="C44:D44"/>
    <mergeCell ref="B2:F2"/>
    <mergeCell ref="C52:D52"/>
    <mergeCell ref="C53:D53"/>
    <mergeCell ref="C46:D46"/>
    <mergeCell ref="C47:D47"/>
    <mergeCell ref="C48:D48"/>
    <mergeCell ref="C49:D49"/>
    <mergeCell ref="C50:D50"/>
    <mergeCell ref="C51:D51"/>
    <mergeCell ref="C45:D45"/>
    <mergeCell ref="C34:D34"/>
    <mergeCell ref="C35:D35"/>
    <mergeCell ref="C36:D36"/>
    <mergeCell ref="C37:D37"/>
    <mergeCell ref="C38:D38"/>
    <mergeCell ref="C39:D39"/>
  </mergeCells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F28"/>
  <sheetViews>
    <sheetView zoomScale="85" zoomScaleNormal="85" workbookViewId="0">
      <selection activeCell="I8" sqref="I8"/>
    </sheetView>
  </sheetViews>
  <sheetFormatPr defaultRowHeight="18.75" x14ac:dyDescent="0.3"/>
  <cols>
    <col min="1" max="1" width="3.140625" style="178" customWidth="1"/>
    <col min="2" max="2" width="6.140625" style="178" customWidth="1"/>
    <col min="3" max="3" width="10.28515625" style="178" customWidth="1"/>
    <col min="4" max="4" width="34.85546875" style="178" customWidth="1"/>
    <col min="5" max="5" width="11.140625" style="178" customWidth="1"/>
    <col min="6" max="6" width="15.7109375" style="181" customWidth="1"/>
    <col min="7" max="229" width="9.140625" style="178"/>
    <col min="230" max="230" width="3.140625" style="178" customWidth="1"/>
    <col min="231" max="231" width="6.140625" style="178" customWidth="1"/>
    <col min="232" max="232" width="10.28515625" style="178" customWidth="1"/>
    <col min="233" max="233" width="34.140625" style="178" customWidth="1"/>
    <col min="234" max="234" width="9.28515625" style="178" customWidth="1"/>
    <col min="235" max="236" width="12.140625" style="178" customWidth="1"/>
    <col min="237" max="247" width="9.85546875" style="178" customWidth="1"/>
    <col min="248" max="248" width="11.5703125" style="178" customWidth="1"/>
    <col min="249" max="249" width="12.7109375" style="178" customWidth="1"/>
    <col min="250" max="250" width="9.140625" style="178"/>
    <col min="251" max="251" width="11.42578125" style="178" customWidth="1"/>
    <col min="252" max="485" width="9.140625" style="178"/>
    <col min="486" max="486" width="3.140625" style="178" customWidth="1"/>
    <col min="487" max="487" width="6.140625" style="178" customWidth="1"/>
    <col min="488" max="488" width="10.28515625" style="178" customWidth="1"/>
    <col min="489" max="489" width="34.140625" style="178" customWidth="1"/>
    <col min="490" max="490" width="9.28515625" style="178" customWidth="1"/>
    <col min="491" max="492" width="12.140625" style="178" customWidth="1"/>
    <col min="493" max="503" width="9.85546875" style="178" customWidth="1"/>
    <col min="504" max="504" width="11.5703125" style="178" customWidth="1"/>
    <col min="505" max="505" width="12.7109375" style="178" customWidth="1"/>
    <col min="506" max="506" width="9.140625" style="178"/>
    <col min="507" max="507" width="11.42578125" style="178" customWidth="1"/>
    <col min="508" max="741" width="9.140625" style="178"/>
    <col min="742" max="742" width="3.140625" style="178" customWidth="1"/>
    <col min="743" max="743" width="6.140625" style="178" customWidth="1"/>
    <col min="744" max="744" width="10.28515625" style="178" customWidth="1"/>
    <col min="745" max="745" width="34.140625" style="178" customWidth="1"/>
    <col min="746" max="746" width="9.28515625" style="178" customWidth="1"/>
    <col min="747" max="748" width="12.140625" style="178" customWidth="1"/>
    <col min="749" max="759" width="9.85546875" style="178" customWidth="1"/>
    <col min="760" max="760" width="11.5703125" style="178" customWidth="1"/>
    <col min="761" max="761" width="12.7109375" style="178" customWidth="1"/>
    <col min="762" max="762" width="9.140625" style="178"/>
    <col min="763" max="763" width="11.42578125" style="178" customWidth="1"/>
    <col min="764" max="997" width="9.140625" style="178"/>
    <col min="998" max="998" width="3.140625" style="178" customWidth="1"/>
    <col min="999" max="999" width="6.140625" style="178" customWidth="1"/>
    <col min="1000" max="1000" width="10.28515625" style="178" customWidth="1"/>
    <col min="1001" max="1001" width="34.140625" style="178" customWidth="1"/>
    <col min="1002" max="1002" width="9.28515625" style="178" customWidth="1"/>
    <col min="1003" max="1004" width="12.140625" style="178" customWidth="1"/>
    <col min="1005" max="1015" width="9.85546875" style="178" customWidth="1"/>
    <col min="1016" max="1016" width="11.5703125" style="178" customWidth="1"/>
    <col min="1017" max="1017" width="12.7109375" style="178" customWidth="1"/>
    <col min="1018" max="1018" width="9.140625" style="178"/>
    <col min="1019" max="1019" width="11.42578125" style="178" customWidth="1"/>
    <col min="1020" max="1253" width="9.140625" style="178"/>
    <col min="1254" max="1254" width="3.140625" style="178" customWidth="1"/>
    <col min="1255" max="1255" width="6.140625" style="178" customWidth="1"/>
    <col min="1256" max="1256" width="10.28515625" style="178" customWidth="1"/>
    <col min="1257" max="1257" width="34.140625" style="178" customWidth="1"/>
    <col min="1258" max="1258" width="9.28515625" style="178" customWidth="1"/>
    <col min="1259" max="1260" width="12.140625" style="178" customWidth="1"/>
    <col min="1261" max="1271" width="9.85546875" style="178" customWidth="1"/>
    <col min="1272" max="1272" width="11.5703125" style="178" customWidth="1"/>
    <col min="1273" max="1273" width="12.7109375" style="178" customWidth="1"/>
    <col min="1274" max="1274" width="9.140625" style="178"/>
    <col min="1275" max="1275" width="11.42578125" style="178" customWidth="1"/>
    <col min="1276" max="1509" width="9.140625" style="178"/>
    <col min="1510" max="1510" width="3.140625" style="178" customWidth="1"/>
    <col min="1511" max="1511" width="6.140625" style="178" customWidth="1"/>
    <col min="1512" max="1512" width="10.28515625" style="178" customWidth="1"/>
    <col min="1513" max="1513" width="34.140625" style="178" customWidth="1"/>
    <col min="1514" max="1514" width="9.28515625" style="178" customWidth="1"/>
    <col min="1515" max="1516" width="12.140625" style="178" customWidth="1"/>
    <col min="1517" max="1527" width="9.85546875" style="178" customWidth="1"/>
    <col min="1528" max="1528" width="11.5703125" style="178" customWidth="1"/>
    <col min="1529" max="1529" width="12.7109375" style="178" customWidth="1"/>
    <col min="1530" max="1530" width="9.140625" style="178"/>
    <col min="1531" max="1531" width="11.42578125" style="178" customWidth="1"/>
    <col min="1532" max="1765" width="9.140625" style="178"/>
    <col min="1766" max="1766" width="3.140625" style="178" customWidth="1"/>
    <col min="1767" max="1767" width="6.140625" style="178" customWidth="1"/>
    <col min="1768" max="1768" width="10.28515625" style="178" customWidth="1"/>
    <col min="1769" max="1769" width="34.140625" style="178" customWidth="1"/>
    <col min="1770" max="1770" width="9.28515625" style="178" customWidth="1"/>
    <col min="1771" max="1772" width="12.140625" style="178" customWidth="1"/>
    <col min="1773" max="1783" width="9.85546875" style="178" customWidth="1"/>
    <col min="1784" max="1784" width="11.5703125" style="178" customWidth="1"/>
    <col min="1785" max="1785" width="12.7109375" style="178" customWidth="1"/>
    <col min="1786" max="1786" width="9.140625" style="178"/>
    <col min="1787" max="1787" width="11.42578125" style="178" customWidth="1"/>
    <col min="1788" max="2021" width="9.140625" style="178"/>
    <col min="2022" max="2022" width="3.140625" style="178" customWidth="1"/>
    <col min="2023" max="2023" width="6.140625" style="178" customWidth="1"/>
    <col min="2024" max="2024" width="10.28515625" style="178" customWidth="1"/>
    <col min="2025" max="2025" width="34.140625" style="178" customWidth="1"/>
    <col min="2026" max="2026" width="9.28515625" style="178" customWidth="1"/>
    <col min="2027" max="2028" width="12.140625" style="178" customWidth="1"/>
    <col min="2029" max="2039" width="9.85546875" style="178" customWidth="1"/>
    <col min="2040" max="2040" width="11.5703125" style="178" customWidth="1"/>
    <col min="2041" max="2041" width="12.7109375" style="178" customWidth="1"/>
    <col min="2042" max="2042" width="9.140625" style="178"/>
    <col min="2043" max="2043" width="11.42578125" style="178" customWidth="1"/>
    <col min="2044" max="2277" width="9.140625" style="178"/>
    <col min="2278" max="2278" width="3.140625" style="178" customWidth="1"/>
    <col min="2279" max="2279" width="6.140625" style="178" customWidth="1"/>
    <col min="2280" max="2280" width="10.28515625" style="178" customWidth="1"/>
    <col min="2281" max="2281" width="34.140625" style="178" customWidth="1"/>
    <col min="2282" max="2282" width="9.28515625" style="178" customWidth="1"/>
    <col min="2283" max="2284" width="12.140625" style="178" customWidth="1"/>
    <col min="2285" max="2295" width="9.85546875" style="178" customWidth="1"/>
    <col min="2296" max="2296" width="11.5703125" style="178" customWidth="1"/>
    <col min="2297" max="2297" width="12.7109375" style="178" customWidth="1"/>
    <col min="2298" max="2298" width="9.140625" style="178"/>
    <col min="2299" max="2299" width="11.42578125" style="178" customWidth="1"/>
    <col min="2300" max="2533" width="9.140625" style="178"/>
    <col min="2534" max="2534" width="3.140625" style="178" customWidth="1"/>
    <col min="2535" max="2535" width="6.140625" style="178" customWidth="1"/>
    <col min="2536" max="2536" width="10.28515625" style="178" customWidth="1"/>
    <col min="2537" max="2537" width="34.140625" style="178" customWidth="1"/>
    <col min="2538" max="2538" width="9.28515625" style="178" customWidth="1"/>
    <col min="2539" max="2540" width="12.140625" style="178" customWidth="1"/>
    <col min="2541" max="2551" width="9.85546875" style="178" customWidth="1"/>
    <col min="2552" max="2552" width="11.5703125" style="178" customWidth="1"/>
    <col min="2553" max="2553" width="12.7109375" style="178" customWidth="1"/>
    <col min="2554" max="2554" width="9.140625" style="178"/>
    <col min="2555" max="2555" width="11.42578125" style="178" customWidth="1"/>
    <col min="2556" max="2789" width="9.140625" style="178"/>
    <col min="2790" max="2790" width="3.140625" style="178" customWidth="1"/>
    <col min="2791" max="2791" width="6.140625" style="178" customWidth="1"/>
    <col min="2792" max="2792" width="10.28515625" style="178" customWidth="1"/>
    <col min="2793" max="2793" width="34.140625" style="178" customWidth="1"/>
    <col min="2794" max="2794" width="9.28515625" style="178" customWidth="1"/>
    <col min="2795" max="2796" width="12.140625" style="178" customWidth="1"/>
    <col min="2797" max="2807" width="9.85546875" style="178" customWidth="1"/>
    <col min="2808" max="2808" width="11.5703125" style="178" customWidth="1"/>
    <col min="2809" max="2809" width="12.7109375" style="178" customWidth="1"/>
    <col min="2810" max="2810" width="9.140625" style="178"/>
    <col min="2811" max="2811" width="11.42578125" style="178" customWidth="1"/>
    <col min="2812" max="3045" width="9.140625" style="178"/>
    <col min="3046" max="3046" width="3.140625" style="178" customWidth="1"/>
    <col min="3047" max="3047" width="6.140625" style="178" customWidth="1"/>
    <col min="3048" max="3048" width="10.28515625" style="178" customWidth="1"/>
    <col min="3049" max="3049" width="34.140625" style="178" customWidth="1"/>
    <col min="3050" max="3050" width="9.28515625" style="178" customWidth="1"/>
    <col min="3051" max="3052" width="12.140625" style="178" customWidth="1"/>
    <col min="3053" max="3063" width="9.85546875" style="178" customWidth="1"/>
    <col min="3064" max="3064" width="11.5703125" style="178" customWidth="1"/>
    <col min="3065" max="3065" width="12.7109375" style="178" customWidth="1"/>
    <col min="3066" max="3066" width="9.140625" style="178"/>
    <col min="3067" max="3067" width="11.42578125" style="178" customWidth="1"/>
    <col min="3068" max="3301" width="9.140625" style="178"/>
    <col min="3302" max="3302" width="3.140625" style="178" customWidth="1"/>
    <col min="3303" max="3303" width="6.140625" style="178" customWidth="1"/>
    <col min="3304" max="3304" width="10.28515625" style="178" customWidth="1"/>
    <col min="3305" max="3305" width="34.140625" style="178" customWidth="1"/>
    <col min="3306" max="3306" width="9.28515625" style="178" customWidth="1"/>
    <col min="3307" max="3308" width="12.140625" style="178" customWidth="1"/>
    <col min="3309" max="3319" width="9.85546875" style="178" customWidth="1"/>
    <col min="3320" max="3320" width="11.5703125" style="178" customWidth="1"/>
    <col min="3321" max="3321" width="12.7109375" style="178" customWidth="1"/>
    <col min="3322" max="3322" width="9.140625" style="178"/>
    <col min="3323" max="3323" width="11.42578125" style="178" customWidth="1"/>
    <col min="3324" max="3557" width="9.140625" style="178"/>
    <col min="3558" max="3558" width="3.140625" style="178" customWidth="1"/>
    <col min="3559" max="3559" width="6.140625" style="178" customWidth="1"/>
    <col min="3560" max="3560" width="10.28515625" style="178" customWidth="1"/>
    <col min="3561" max="3561" width="34.140625" style="178" customWidth="1"/>
    <col min="3562" max="3562" width="9.28515625" style="178" customWidth="1"/>
    <col min="3563" max="3564" width="12.140625" style="178" customWidth="1"/>
    <col min="3565" max="3575" width="9.85546875" style="178" customWidth="1"/>
    <col min="3576" max="3576" width="11.5703125" style="178" customWidth="1"/>
    <col min="3577" max="3577" width="12.7109375" style="178" customWidth="1"/>
    <col min="3578" max="3578" width="9.140625" style="178"/>
    <col min="3579" max="3579" width="11.42578125" style="178" customWidth="1"/>
    <col min="3580" max="3813" width="9.140625" style="178"/>
    <col min="3814" max="3814" width="3.140625" style="178" customWidth="1"/>
    <col min="3815" max="3815" width="6.140625" style="178" customWidth="1"/>
    <col min="3816" max="3816" width="10.28515625" style="178" customWidth="1"/>
    <col min="3817" max="3817" width="34.140625" style="178" customWidth="1"/>
    <col min="3818" max="3818" width="9.28515625" style="178" customWidth="1"/>
    <col min="3819" max="3820" width="12.140625" style="178" customWidth="1"/>
    <col min="3821" max="3831" width="9.85546875" style="178" customWidth="1"/>
    <col min="3832" max="3832" width="11.5703125" style="178" customWidth="1"/>
    <col min="3833" max="3833" width="12.7109375" style="178" customWidth="1"/>
    <col min="3834" max="3834" width="9.140625" style="178"/>
    <col min="3835" max="3835" width="11.42578125" style="178" customWidth="1"/>
    <col min="3836" max="4069" width="9.140625" style="178"/>
    <col min="4070" max="4070" width="3.140625" style="178" customWidth="1"/>
    <col min="4071" max="4071" width="6.140625" style="178" customWidth="1"/>
    <col min="4072" max="4072" width="10.28515625" style="178" customWidth="1"/>
    <col min="4073" max="4073" width="34.140625" style="178" customWidth="1"/>
    <col min="4074" max="4074" width="9.28515625" style="178" customWidth="1"/>
    <col min="4075" max="4076" width="12.140625" style="178" customWidth="1"/>
    <col min="4077" max="4087" width="9.85546875" style="178" customWidth="1"/>
    <col min="4088" max="4088" width="11.5703125" style="178" customWidth="1"/>
    <col min="4089" max="4089" width="12.7109375" style="178" customWidth="1"/>
    <col min="4090" max="4090" width="9.140625" style="178"/>
    <col min="4091" max="4091" width="11.42578125" style="178" customWidth="1"/>
    <col min="4092" max="4325" width="9.140625" style="178"/>
    <col min="4326" max="4326" width="3.140625" style="178" customWidth="1"/>
    <col min="4327" max="4327" width="6.140625" style="178" customWidth="1"/>
    <col min="4328" max="4328" width="10.28515625" style="178" customWidth="1"/>
    <col min="4329" max="4329" width="34.140625" style="178" customWidth="1"/>
    <col min="4330" max="4330" width="9.28515625" style="178" customWidth="1"/>
    <col min="4331" max="4332" width="12.140625" style="178" customWidth="1"/>
    <col min="4333" max="4343" width="9.85546875" style="178" customWidth="1"/>
    <col min="4344" max="4344" width="11.5703125" style="178" customWidth="1"/>
    <col min="4345" max="4345" width="12.7109375" style="178" customWidth="1"/>
    <col min="4346" max="4346" width="9.140625" style="178"/>
    <col min="4347" max="4347" width="11.42578125" style="178" customWidth="1"/>
    <col min="4348" max="4581" width="9.140625" style="178"/>
    <col min="4582" max="4582" width="3.140625" style="178" customWidth="1"/>
    <col min="4583" max="4583" width="6.140625" style="178" customWidth="1"/>
    <col min="4584" max="4584" width="10.28515625" style="178" customWidth="1"/>
    <col min="4585" max="4585" width="34.140625" style="178" customWidth="1"/>
    <col min="4586" max="4586" width="9.28515625" style="178" customWidth="1"/>
    <col min="4587" max="4588" width="12.140625" style="178" customWidth="1"/>
    <col min="4589" max="4599" width="9.85546875" style="178" customWidth="1"/>
    <col min="4600" max="4600" width="11.5703125" style="178" customWidth="1"/>
    <col min="4601" max="4601" width="12.7109375" style="178" customWidth="1"/>
    <col min="4602" max="4602" width="9.140625" style="178"/>
    <col min="4603" max="4603" width="11.42578125" style="178" customWidth="1"/>
    <col min="4604" max="4837" width="9.140625" style="178"/>
    <col min="4838" max="4838" width="3.140625" style="178" customWidth="1"/>
    <col min="4839" max="4839" width="6.140625" style="178" customWidth="1"/>
    <col min="4840" max="4840" width="10.28515625" style="178" customWidth="1"/>
    <col min="4841" max="4841" width="34.140625" style="178" customWidth="1"/>
    <col min="4842" max="4842" width="9.28515625" style="178" customWidth="1"/>
    <col min="4843" max="4844" width="12.140625" style="178" customWidth="1"/>
    <col min="4845" max="4855" width="9.85546875" style="178" customWidth="1"/>
    <col min="4856" max="4856" width="11.5703125" style="178" customWidth="1"/>
    <col min="4857" max="4857" width="12.7109375" style="178" customWidth="1"/>
    <col min="4858" max="4858" width="9.140625" style="178"/>
    <col min="4859" max="4859" width="11.42578125" style="178" customWidth="1"/>
    <col min="4860" max="5093" width="9.140625" style="178"/>
    <col min="5094" max="5094" width="3.140625" style="178" customWidth="1"/>
    <col min="5095" max="5095" width="6.140625" style="178" customWidth="1"/>
    <col min="5096" max="5096" width="10.28515625" style="178" customWidth="1"/>
    <col min="5097" max="5097" width="34.140625" style="178" customWidth="1"/>
    <col min="5098" max="5098" width="9.28515625" style="178" customWidth="1"/>
    <col min="5099" max="5100" width="12.140625" style="178" customWidth="1"/>
    <col min="5101" max="5111" width="9.85546875" style="178" customWidth="1"/>
    <col min="5112" max="5112" width="11.5703125" style="178" customWidth="1"/>
    <col min="5113" max="5113" width="12.7109375" style="178" customWidth="1"/>
    <col min="5114" max="5114" width="9.140625" style="178"/>
    <col min="5115" max="5115" width="11.42578125" style="178" customWidth="1"/>
    <col min="5116" max="5349" width="9.140625" style="178"/>
    <col min="5350" max="5350" width="3.140625" style="178" customWidth="1"/>
    <col min="5351" max="5351" width="6.140625" style="178" customWidth="1"/>
    <col min="5352" max="5352" width="10.28515625" style="178" customWidth="1"/>
    <col min="5353" max="5353" width="34.140625" style="178" customWidth="1"/>
    <col min="5354" max="5354" width="9.28515625" style="178" customWidth="1"/>
    <col min="5355" max="5356" width="12.140625" style="178" customWidth="1"/>
    <col min="5357" max="5367" width="9.85546875" style="178" customWidth="1"/>
    <col min="5368" max="5368" width="11.5703125" style="178" customWidth="1"/>
    <col min="5369" max="5369" width="12.7109375" style="178" customWidth="1"/>
    <col min="5370" max="5370" width="9.140625" style="178"/>
    <col min="5371" max="5371" width="11.42578125" style="178" customWidth="1"/>
    <col min="5372" max="5605" width="9.140625" style="178"/>
    <col min="5606" max="5606" width="3.140625" style="178" customWidth="1"/>
    <col min="5607" max="5607" width="6.140625" style="178" customWidth="1"/>
    <col min="5608" max="5608" width="10.28515625" style="178" customWidth="1"/>
    <col min="5609" max="5609" width="34.140625" style="178" customWidth="1"/>
    <col min="5610" max="5610" width="9.28515625" style="178" customWidth="1"/>
    <col min="5611" max="5612" width="12.140625" style="178" customWidth="1"/>
    <col min="5613" max="5623" width="9.85546875" style="178" customWidth="1"/>
    <col min="5624" max="5624" width="11.5703125" style="178" customWidth="1"/>
    <col min="5625" max="5625" width="12.7109375" style="178" customWidth="1"/>
    <col min="5626" max="5626" width="9.140625" style="178"/>
    <col min="5627" max="5627" width="11.42578125" style="178" customWidth="1"/>
    <col min="5628" max="5861" width="9.140625" style="178"/>
    <col min="5862" max="5862" width="3.140625" style="178" customWidth="1"/>
    <col min="5863" max="5863" width="6.140625" style="178" customWidth="1"/>
    <col min="5864" max="5864" width="10.28515625" style="178" customWidth="1"/>
    <col min="5865" max="5865" width="34.140625" style="178" customWidth="1"/>
    <col min="5866" max="5866" width="9.28515625" style="178" customWidth="1"/>
    <col min="5867" max="5868" width="12.140625" style="178" customWidth="1"/>
    <col min="5869" max="5879" width="9.85546875" style="178" customWidth="1"/>
    <col min="5880" max="5880" width="11.5703125" style="178" customWidth="1"/>
    <col min="5881" max="5881" width="12.7109375" style="178" customWidth="1"/>
    <col min="5882" max="5882" width="9.140625" style="178"/>
    <col min="5883" max="5883" width="11.42578125" style="178" customWidth="1"/>
    <col min="5884" max="6117" width="9.140625" style="178"/>
    <col min="6118" max="6118" width="3.140625" style="178" customWidth="1"/>
    <col min="6119" max="6119" width="6.140625" style="178" customWidth="1"/>
    <col min="6120" max="6120" width="10.28515625" style="178" customWidth="1"/>
    <col min="6121" max="6121" width="34.140625" style="178" customWidth="1"/>
    <col min="6122" max="6122" width="9.28515625" style="178" customWidth="1"/>
    <col min="6123" max="6124" width="12.140625" style="178" customWidth="1"/>
    <col min="6125" max="6135" width="9.85546875" style="178" customWidth="1"/>
    <col min="6136" max="6136" width="11.5703125" style="178" customWidth="1"/>
    <col min="6137" max="6137" width="12.7109375" style="178" customWidth="1"/>
    <col min="6138" max="6138" width="9.140625" style="178"/>
    <col min="6139" max="6139" width="11.42578125" style="178" customWidth="1"/>
    <col min="6140" max="6373" width="9.140625" style="178"/>
    <col min="6374" max="6374" width="3.140625" style="178" customWidth="1"/>
    <col min="6375" max="6375" width="6.140625" style="178" customWidth="1"/>
    <col min="6376" max="6376" width="10.28515625" style="178" customWidth="1"/>
    <col min="6377" max="6377" width="34.140625" style="178" customWidth="1"/>
    <col min="6378" max="6378" width="9.28515625" style="178" customWidth="1"/>
    <col min="6379" max="6380" width="12.140625" style="178" customWidth="1"/>
    <col min="6381" max="6391" width="9.85546875" style="178" customWidth="1"/>
    <col min="6392" max="6392" width="11.5703125" style="178" customWidth="1"/>
    <col min="6393" max="6393" width="12.7109375" style="178" customWidth="1"/>
    <col min="6394" max="6394" width="9.140625" style="178"/>
    <col min="6395" max="6395" width="11.42578125" style="178" customWidth="1"/>
    <col min="6396" max="6629" width="9.140625" style="178"/>
    <col min="6630" max="6630" width="3.140625" style="178" customWidth="1"/>
    <col min="6631" max="6631" width="6.140625" style="178" customWidth="1"/>
    <col min="6632" max="6632" width="10.28515625" style="178" customWidth="1"/>
    <col min="6633" max="6633" width="34.140625" style="178" customWidth="1"/>
    <col min="6634" max="6634" width="9.28515625" style="178" customWidth="1"/>
    <col min="6635" max="6636" width="12.140625" style="178" customWidth="1"/>
    <col min="6637" max="6647" width="9.85546875" style="178" customWidth="1"/>
    <col min="6648" max="6648" width="11.5703125" style="178" customWidth="1"/>
    <col min="6649" max="6649" width="12.7109375" style="178" customWidth="1"/>
    <col min="6650" max="6650" width="9.140625" style="178"/>
    <col min="6651" max="6651" width="11.42578125" style="178" customWidth="1"/>
    <col min="6652" max="6885" width="9.140625" style="178"/>
    <col min="6886" max="6886" width="3.140625" style="178" customWidth="1"/>
    <col min="6887" max="6887" width="6.140625" style="178" customWidth="1"/>
    <col min="6888" max="6888" width="10.28515625" style="178" customWidth="1"/>
    <col min="6889" max="6889" width="34.140625" style="178" customWidth="1"/>
    <col min="6890" max="6890" width="9.28515625" style="178" customWidth="1"/>
    <col min="6891" max="6892" width="12.140625" style="178" customWidth="1"/>
    <col min="6893" max="6903" width="9.85546875" style="178" customWidth="1"/>
    <col min="6904" max="6904" width="11.5703125" style="178" customWidth="1"/>
    <col min="6905" max="6905" width="12.7109375" style="178" customWidth="1"/>
    <col min="6906" max="6906" width="9.140625" style="178"/>
    <col min="6907" max="6907" width="11.42578125" style="178" customWidth="1"/>
    <col min="6908" max="7141" width="9.140625" style="178"/>
    <col min="7142" max="7142" width="3.140625" style="178" customWidth="1"/>
    <col min="7143" max="7143" width="6.140625" style="178" customWidth="1"/>
    <col min="7144" max="7144" width="10.28515625" style="178" customWidth="1"/>
    <col min="7145" max="7145" width="34.140625" style="178" customWidth="1"/>
    <col min="7146" max="7146" width="9.28515625" style="178" customWidth="1"/>
    <col min="7147" max="7148" width="12.140625" style="178" customWidth="1"/>
    <col min="7149" max="7159" width="9.85546875" style="178" customWidth="1"/>
    <col min="7160" max="7160" width="11.5703125" style="178" customWidth="1"/>
    <col min="7161" max="7161" width="12.7109375" style="178" customWidth="1"/>
    <col min="7162" max="7162" width="9.140625" style="178"/>
    <col min="7163" max="7163" width="11.42578125" style="178" customWidth="1"/>
    <col min="7164" max="7397" width="9.140625" style="178"/>
    <col min="7398" max="7398" width="3.140625" style="178" customWidth="1"/>
    <col min="7399" max="7399" width="6.140625" style="178" customWidth="1"/>
    <col min="7400" max="7400" width="10.28515625" style="178" customWidth="1"/>
    <col min="7401" max="7401" width="34.140625" style="178" customWidth="1"/>
    <col min="7402" max="7402" width="9.28515625" style="178" customWidth="1"/>
    <col min="7403" max="7404" width="12.140625" style="178" customWidth="1"/>
    <col min="7405" max="7415" width="9.85546875" style="178" customWidth="1"/>
    <col min="7416" max="7416" width="11.5703125" style="178" customWidth="1"/>
    <col min="7417" max="7417" width="12.7109375" style="178" customWidth="1"/>
    <col min="7418" max="7418" width="9.140625" style="178"/>
    <col min="7419" max="7419" width="11.42578125" style="178" customWidth="1"/>
    <col min="7420" max="7653" width="9.140625" style="178"/>
    <col min="7654" max="7654" width="3.140625" style="178" customWidth="1"/>
    <col min="7655" max="7655" width="6.140625" style="178" customWidth="1"/>
    <col min="7656" max="7656" width="10.28515625" style="178" customWidth="1"/>
    <col min="7657" max="7657" width="34.140625" style="178" customWidth="1"/>
    <col min="7658" max="7658" width="9.28515625" style="178" customWidth="1"/>
    <col min="7659" max="7660" width="12.140625" style="178" customWidth="1"/>
    <col min="7661" max="7671" width="9.85546875" style="178" customWidth="1"/>
    <col min="7672" max="7672" width="11.5703125" style="178" customWidth="1"/>
    <col min="7673" max="7673" width="12.7109375" style="178" customWidth="1"/>
    <col min="7674" max="7674" width="9.140625" style="178"/>
    <col min="7675" max="7675" width="11.42578125" style="178" customWidth="1"/>
    <col min="7676" max="7909" width="9.140625" style="178"/>
    <col min="7910" max="7910" width="3.140625" style="178" customWidth="1"/>
    <col min="7911" max="7911" width="6.140625" style="178" customWidth="1"/>
    <col min="7912" max="7912" width="10.28515625" style="178" customWidth="1"/>
    <col min="7913" max="7913" width="34.140625" style="178" customWidth="1"/>
    <col min="7914" max="7914" width="9.28515625" style="178" customWidth="1"/>
    <col min="7915" max="7916" width="12.140625" style="178" customWidth="1"/>
    <col min="7917" max="7927" width="9.85546875" style="178" customWidth="1"/>
    <col min="7928" max="7928" width="11.5703125" style="178" customWidth="1"/>
    <col min="7929" max="7929" width="12.7109375" style="178" customWidth="1"/>
    <col min="7930" max="7930" width="9.140625" style="178"/>
    <col min="7931" max="7931" width="11.42578125" style="178" customWidth="1"/>
    <col min="7932" max="8165" width="9.140625" style="178"/>
    <col min="8166" max="8166" width="3.140625" style="178" customWidth="1"/>
    <col min="8167" max="8167" width="6.140625" style="178" customWidth="1"/>
    <col min="8168" max="8168" width="10.28515625" style="178" customWidth="1"/>
    <col min="8169" max="8169" width="34.140625" style="178" customWidth="1"/>
    <col min="8170" max="8170" width="9.28515625" style="178" customWidth="1"/>
    <col min="8171" max="8172" width="12.140625" style="178" customWidth="1"/>
    <col min="8173" max="8183" width="9.85546875" style="178" customWidth="1"/>
    <col min="8184" max="8184" width="11.5703125" style="178" customWidth="1"/>
    <col min="8185" max="8185" width="12.7109375" style="178" customWidth="1"/>
    <col min="8186" max="8186" width="9.140625" style="178"/>
    <col min="8187" max="8187" width="11.42578125" style="178" customWidth="1"/>
    <col min="8188" max="8421" width="9.140625" style="178"/>
    <col min="8422" max="8422" width="3.140625" style="178" customWidth="1"/>
    <col min="8423" max="8423" width="6.140625" style="178" customWidth="1"/>
    <col min="8424" max="8424" width="10.28515625" style="178" customWidth="1"/>
    <col min="8425" max="8425" width="34.140625" style="178" customWidth="1"/>
    <col min="8426" max="8426" width="9.28515625" style="178" customWidth="1"/>
    <col min="8427" max="8428" width="12.140625" style="178" customWidth="1"/>
    <col min="8429" max="8439" width="9.85546875" style="178" customWidth="1"/>
    <col min="8440" max="8440" width="11.5703125" style="178" customWidth="1"/>
    <col min="8441" max="8441" width="12.7109375" style="178" customWidth="1"/>
    <col min="8442" max="8442" width="9.140625" style="178"/>
    <col min="8443" max="8443" width="11.42578125" style="178" customWidth="1"/>
    <col min="8444" max="8677" width="9.140625" style="178"/>
    <col min="8678" max="8678" width="3.140625" style="178" customWidth="1"/>
    <col min="8679" max="8679" width="6.140625" style="178" customWidth="1"/>
    <col min="8680" max="8680" width="10.28515625" style="178" customWidth="1"/>
    <col min="8681" max="8681" width="34.140625" style="178" customWidth="1"/>
    <col min="8682" max="8682" width="9.28515625" style="178" customWidth="1"/>
    <col min="8683" max="8684" width="12.140625" style="178" customWidth="1"/>
    <col min="8685" max="8695" width="9.85546875" style="178" customWidth="1"/>
    <col min="8696" max="8696" width="11.5703125" style="178" customWidth="1"/>
    <col min="8697" max="8697" width="12.7109375" style="178" customWidth="1"/>
    <col min="8698" max="8698" width="9.140625" style="178"/>
    <col min="8699" max="8699" width="11.42578125" style="178" customWidth="1"/>
    <col min="8700" max="8933" width="9.140625" style="178"/>
    <col min="8934" max="8934" width="3.140625" style="178" customWidth="1"/>
    <col min="8935" max="8935" width="6.140625" style="178" customWidth="1"/>
    <col min="8936" max="8936" width="10.28515625" style="178" customWidth="1"/>
    <col min="8937" max="8937" width="34.140625" style="178" customWidth="1"/>
    <col min="8938" max="8938" width="9.28515625" style="178" customWidth="1"/>
    <col min="8939" max="8940" width="12.140625" style="178" customWidth="1"/>
    <col min="8941" max="8951" width="9.85546875" style="178" customWidth="1"/>
    <col min="8952" max="8952" width="11.5703125" style="178" customWidth="1"/>
    <col min="8953" max="8953" width="12.7109375" style="178" customWidth="1"/>
    <col min="8954" max="8954" width="9.140625" style="178"/>
    <col min="8955" max="8955" width="11.42578125" style="178" customWidth="1"/>
    <col min="8956" max="9189" width="9.140625" style="178"/>
    <col min="9190" max="9190" width="3.140625" style="178" customWidth="1"/>
    <col min="9191" max="9191" width="6.140625" style="178" customWidth="1"/>
    <col min="9192" max="9192" width="10.28515625" style="178" customWidth="1"/>
    <col min="9193" max="9193" width="34.140625" style="178" customWidth="1"/>
    <col min="9194" max="9194" width="9.28515625" style="178" customWidth="1"/>
    <col min="9195" max="9196" width="12.140625" style="178" customWidth="1"/>
    <col min="9197" max="9207" width="9.85546875" style="178" customWidth="1"/>
    <col min="9208" max="9208" width="11.5703125" style="178" customWidth="1"/>
    <col min="9209" max="9209" width="12.7109375" style="178" customWidth="1"/>
    <col min="9210" max="9210" width="9.140625" style="178"/>
    <col min="9211" max="9211" width="11.42578125" style="178" customWidth="1"/>
    <col min="9212" max="9445" width="9.140625" style="178"/>
    <col min="9446" max="9446" width="3.140625" style="178" customWidth="1"/>
    <col min="9447" max="9447" width="6.140625" style="178" customWidth="1"/>
    <col min="9448" max="9448" width="10.28515625" style="178" customWidth="1"/>
    <col min="9449" max="9449" width="34.140625" style="178" customWidth="1"/>
    <col min="9450" max="9450" width="9.28515625" style="178" customWidth="1"/>
    <col min="9451" max="9452" width="12.140625" style="178" customWidth="1"/>
    <col min="9453" max="9463" width="9.85546875" style="178" customWidth="1"/>
    <col min="9464" max="9464" width="11.5703125" style="178" customWidth="1"/>
    <col min="9465" max="9465" width="12.7109375" style="178" customWidth="1"/>
    <col min="9466" max="9466" width="9.140625" style="178"/>
    <col min="9467" max="9467" width="11.42578125" style="178" customWidth="1"/>
    <col min="9468" max="9701" width="9.140625" style="178"/>
    <col min="9702" max="9702" width="3.140625" style="178" customWidth="1"/>
    <col min="9703" max="9703" width="6.140625" style="178" customWidth="1"/>
    <col min="9704" max="9704" width="10.28515625" style="178" customWidth="1"/>
    <col min="9705" max="9705" width="34.140625" style="178" customWidth="1"/>
    <col min="9706" max="9706" width="9.28515625" style="178" customWidth="1"/>
    <col min="9707" max="9708" width="12.140625" style="178" customWidth="1"/>
    <col min="9709" max="9719" width="9.85546875" style="178" customWidth="1"/>
    <col min="9720" max="9720" width="11.5703125" style="178" customWidth="1"/>
    <col min="9721" max="9721" width="12.7109375" style="178" customWidth="1"/>
    <col min="9722" max="9722" width="9.140625" style="178"/>
    <col min="9723" max="9723" width="11.42578125" style="178" customWidth="1"/>
    <col min="9724" max="9957" width="9.140625" style="178"/>
    <col min="9958" max="9958" width="3.140625" style="178" customWidth="1"/>
    <col min="9959" max="9959" width="6.140625" style="178" customWidth="1"/>
    <col min="9960" max="9960" width="10.28515625" style="178" customWidth="1"/>
    <col min="9961" max="9961" width="34.140625" style="178" customWidth="1"/>
    <col min="9962" max="9962" width="9.28515625" style="178" customWidth="1"/>
    <col min="9963" max="9964" width="12.140625" style="178" customWidth="1"/>
    <col min="9965" max="9975" width="9.85546875" style="178" customWidth="1"/>
    <col min="9976" max="9976" width="11.5703125" style="178" customWidth="1"/>
    <col min="9977" max="9977" width="12.7109375" style="178" customWidth="1"/>
    <col min="9978" max="9978" width="9.140625" style="178"/>
    <col min="9979" max="9979" width="11.42578125" style="178" customWidth="1"/>
    <col min="9980" max="10213" width="9.140625" style="178"/>
    <col min="10214" max="10214" width="3.140625" style="178" customWidth="1"/>
    <col min="10215" max="10215" width="6.140625" style="178" customWidth="1"/>
    <col min="10216" max="10216" width="10.28515625" style="178" customWidth="1"/>
    <col min="10217" max="10217" width="34.140625" style="178" customWidth="1"/>
    <col min="10218" max="10218" width="9.28515625" style="178" customWidth="1"/>
    <col min="10219" max="10220" width="12.140625" style="178" customWidth="1"/>
    <col min="10221" max="10231" width="9.85546875" style="178" customWidth="1"/>
    <col min="10232" max="10232" width="11.5703125" style="178" customWidth="1"/>
    <col min="10233" max="10233" width="12.7109375" style="178" customWidth="1"/>
    <col min="10234" max="10234" width="9.140625" style="178"/>
    <col min="10235" max="10235" width="11.42578125" style="178" customWidth="1"/>
    <col min="10236" max="10469" width="9.140625" style="178"/>
    <col min="10470" max="10470" width="3.140625" style="178" customWidth="1"/>
    <col min="10471" max="10471" width="6.140625" style="178" customWidth="1"/>
    <col min="10472" max="10472" width="10.28515625" style="178" customWidth="1"/>
    <col min="10473" max="10473" width="34.140625" style="178" customWidth="1"/>
    <col min="10474" max="10474" width="9.28515625" style="178" customWidth="1"/>
    <col min="10475" max="10476" width="12.140625" style="178" customWidth="1"/>
    <col min="10477" max="10487" width="9.85546875" style="178" customWidth="1"/>
    <col min="10488" max="10488" width="11.5703125" style="178" customWidth="1"/>
    <col min="10489" max="10489" width="12.7109375" style="178" customWidth="1"/>
    <col min="10490" max="10490" width="9.140625" style="178"/>
    <col min="10491" max="10491" width="11.42578125" style="178" customWidth="1"/>
    <col min="10492" max="10725" width="9.140625" style="178"/>
    <col min="10726" max="10726" width="3.140625" style="178" customWidth="1"/>
    <col min="10727" max="10727" width="6.140625" style="178" customWidth="1"/>
    <col min="10728" max="10728" width="10.28515625" style="178" customWidth="1"/>
    <col min="10729" max="10729" width="34.140625" style="178" customWidth="1"/>
    <col min="10730" max="10730" width="9.28515625" style="178" customWidth="1"/>
    <col min="10731" max="10732" width="12.140625" style="178" customWidth="1"/>
    <col min="10733" max="10743" width="9.85546875" style="178" customWidth="1"/>
    <col min="10744" max="10744" width="11.5703125" style="178" customWidth="1"/>
    <col min="10745" max="10745" width="12.7109375" style="178" customWidth="1"/>
    <col min="10746" max="10746" width="9.140625" style="178"/>
    <col min="10747" max="10747" width="11.42578125" style="178" customWidth="1"/>
    <col min="10748" max="10981" width="9.140625" style="178"/>
    <col min="10982" max="10982" width="3.140625" style="178" customWidth="1"/>
    <col min="10983" max="10983" width="6.140625" style="178" customWidth="1"/>
    <col min="10984" max="10984" width="10.28515625" style="178" customWidth="1"/>
    <col min="10985" max="10985" width="34.140625" style="178" customWidth="1"/>
    <col min="10986" max="10986" width="9.28515625" style="178" customWidth="1"/>
    <col min="10987" max="10988" width="12.140625" style="178" customWidth="1"/>
    <col min="10989" max="10999" width="9.85546875" style="178" customWidth="1"/>
    <col min="11000" max="11000" width="11.5703125" style="178" customWidth="1"/>
    <col min="11001" max="11001" width="12.7109375" style="178" customWidth="1"/>
    <col min="11002" max="11002" width="9.140625" style="178"/>
    <col min="11003" max="11003" width="11.42578125" style="178" customWidth="1"/>
    <col min="11004" max="11237" width="9.140625" style="178"/>
    <col min="11238" max="11238" width="3.140625" style="178" customWidth="1"/>
    <col min="11239" max="11239" width="6.140625" style="178" customWidth="1"/>
    <col min="11240" max="11240" width="10.28515625" style="178" customWidth="1"/>
    <col min="11241" max="11241" width="34.140625" style="178" customWidth="1"/>
    <col min="11242" max="11242" width="9.28515625" style="178" customWidth="1"/>
    <col min="11243" max="11244" width="12.140625" style="178" customWidth="1"/>
    <col min="11245" max="11255" width="9.85546875" style="178" customWidth="1"/>
    <col min="11256" max="11256" width="11.5703125" style="178" customWidth="1"/>
    <col min="11257" max="11257" width="12.7109375" style="178" customWidth="1"/>
    <col min="11258" max="11258" width="9.140625" style="178"/>
    <col min="11259" max="11259" width="11.42578125" style="178" customWidth="1"/>
    <col min="11260" max="11493" width="9.140625" style="178"/>
    <col min="11494" max="11494" width="3.140625" style="178" customWidth="1"/>
    <col min="11495" max="11495" width="6.140625" style="178" customWidth="1"/>
    <col min="11496" max="11496" width="10.28515625" style="178" customWidth="1"/>
    <col min="11497" max="11497" width="34.140625" style="178" customWidth="1"/>
    <col min="11498" max="11498" width="9.28515625" style="178" customWidth="1"/>
    <col min="11499" max="11500" width="12.140625" style="178" customWidth="1"/>
    <col min="11501" max="11511" width="9.85546875" style="178" customWidth="1"/>
    <col min="11512" max="11512" width="11.5703125" style="178" customWidth="1"/>
    <col min="11513" max="11513" width="12.7109375" style="178" customWidth="1"/>
    <col min="11514" max="11514" width="9.140625" style="178"/>
    <col min="11515" max="11515" width="11.42578125" style="178" customWidth="1"/>
    <col min="11516" max="11749" width="9.140625" style="178"/>
    <col min="11750" max="11750" width="3.140625" style="178" customWidth="1"/>
    <col min="11751" max="11751" width="6.140625" style="178" customWidth="1"/>
    <col min="11752" max="11752" width="10.28515625" style="178" customWidth="1"/>
    <col min="11753" max="11753" width="34.140625" style="178" customWidth="1"/>
    <col min="11754" max="11754" width="9.28515625" style="178" customWidth="1"/>
    <col min="11755" max="11756" width="12.140625" style="178" customWidth="1"/>
    <col min="11757" max="11767" width="9.85546875" style="178" customWidth="1"/>
    <col min="11768" max="11768" width="11.5703125" style="178" customWidth="1"/>
    <col min="11769" max="11769" width="12.7109375" style="178" customWidth="1"/>
    <col min="11770" max="11770" width="9.140625" style="178"/>
    <col min="11771" max="11771" width="11.42578125" style="178" customWidth="1"/>
    <col min="11772" max="12005" width="9.140625" style="178"/>
    <col min="12006" max="12006" width="3.140625" style="178" customWidth="1"/>
    <col min="12007" max="12007" width="6.140625" style="178" customWidth="1"/>
    <col min="12008" max="12008" width="10.28515625" style="178" customWidth="1"/>
    <col min="12009" max="12009" width="34.140625" style="178" customWidth="1"/>
    <col min="12010" max="12010" width="9.28515625" style="178" customWidth="1"/>
    <col min="12011" max="12012" width="12.140625" style="178" customWidth="1"/>
    <col min="12013" max="12023" width="9.85546875" style="178" customWidth="1"/>
    <col min="12024" max="12024" width="11.5703125" style="178" customWidth="1"/>
    <col min="12025" max="12025" width="12.7109375" style="178" customWidth="1"/>
    <col min="12026" max="12026" width="9.140625" style="178"/>
    <col min="12027" max="12027" width="11.42578125" style="178" customWidth="1"/>
    <col min="12028" max="12261" width="9.140625" style="178"/>
    <col min="12262" max="12262" width="3.140625" style="178" customWidth="1"/>
    <col min="12263" max="12263" width="6.140625" style="178" customWidth="1"/>
    <col min="12264" max="12264" width="10.28515625" style="178" customWidth="1"/>
    <col min="12265" max="12265" width="34.140625" style="178" customWidth="1"/>
    <col min="12266" max="12266" width="9.28515625" style="178" customWidth="1"/>
    <col min="12267" max="12268" width="12.140625" style="178" customWidth="1"/>
    <col min="12269" max="12279" width="9.85546875" style="178" customWidth="1"/>
    <col min="12280" max="12280" width="11.5703125" style="178" customWidth="1"/>
    <col min="12281" max="12281" width="12.7109375" style="178" customWidth="1"/>
    <col min="12282" max="12282" width="9.140625" style="178"/>
    <col min="12283" max="12283" width="11.42578125" style="178" customWidth="1"/>
    <col min="12284" max="12517" width="9.140625" style="178"/>
    <col min="12518" max="12518" width="3.140625" style="178" customWidth="1"/>
    <col min="12519" max="12519" width="6.140625" style="178" customWidth="1"/>
    <col min="12520" max="12520" width="10.28515625" style="178" customWidth="1"/>
    <col min="12521" max="12521" width="34.140625" style="178" customWidth="1"/>
    <col min="12522" max="12522" width="9.28515625" style="178" customWidth="1"/>
    <col min="12523" max="12524" width="12.140625" style="178" customWidth="1"/>
    <col min="12525" max="12535" width="9.85546875" style="178" customWidth="1"/>
    <col min="12536" max="12536" width="11.5703125" style="178" customWidth="1"/>
    <col min="12537" max="12537" width="12.7109375" style="178" customWidth="1"/>
    <col min="12538" max="12538" width="9.140625" style="178"/>
    <col min="12539" max="12539" width="11.42578125" style="178" customWidth="1"/>
    <col min="12540" max="12773" width="9.140625" style="178"/>
    <col min="12774" max="12774" width="3.140625" style="178" customWidth="1"/>
    <col min="12775" max="12775" width="6.140625" style="178" customWidth="1"/>
    <col min="12776" max="12776" width="10.28515625" style="178" customWidth="1"/>
    <col min="12777" max="12777" width="34.140625" style="178" customWidth="1"/>
    <col min="12778" max="12778" width="9.28515625" style="178" customWidth="1"/>
    <col min="12779" max="12780" width="12.140625" style="178" customWidth="1"/>
    <col min="12781" max="12791" width="9.85546875" style="178" customWidth="1"/>
    <col min="12792" max="12792" width="11.5703125" style="178" customWidth="1"/>
    <col min="12793" max="12793" width="12.7109375" style="178" customWidth="1"/>
    <col min="12794" max="12794" width="9.140625" style="178"/>
    <col min="12795" max="12795" width="11.42578125" style="178" customWidth="1"/>
    <col min="12796" max="13029" width="9.140625" style="178"/>
    <col min="13030" max="13030" width="3.140625" style="178" customWidth="1"/>
    <col min="13031" max="13031" width="6.140625" style="178" customWidth="1"/>
    <col min="13032" max="13032" width="10.28515625" style="178" customWidth="1"/>
    <col min="13033" max="13033" width="34.140625" style="178" customWidth="1"/>
    <col min="13034" max="13034" width="9.28515625" style="178" customWidth="1"/>
    <col min="13035" max="13036" width="12.140625" style="178" customWidth="1"/>
    <col min="13037" max="13047" width="9.85546875" style="178" customWidth="1"/>
    <col min="13048" max="13048" width="11.5703125" style="178" customWidth="1"/>
    <col min="13049" max="13049" width="12.7109375" style="178" customWidth="1"/>
    <col min="13050" max="13050" width="9.140625" style="178"/>
    <col min="13051" max="13051" width="11.42578125" style="178" customWidth="1"/>
    <col min="13052" max="13285" width="9.140625" style="178"/>
    <col min="13286" max="13286" width="3.140625" style="178" customWidth="1"/>
    <col min="13287" max="13287" width="6.140625" style="178" customWidth="1"/>
    <col min="13288" max="13288" width="10.28515625" style="178" customWidth="1"/>
    <col min="13289" max="13289" width="34.140625" style="178" customWidth="1"/>
    <col min="13290" max="13290" width="9.28515625" style="178" customWidth="1"/>
    <col min="13291" max="13292" width="12.140625" style="178" customWidth="1"/>
    <col min="13293" max="13303" width="9.85546875" style="178" customWidth="1"/>
    <col min="13304" max="13304" width="11.5703125" style="178" customWidth="1"/>
    <col min="13305" max="13305" width="12.7109375" style="178" customWidth="1"/>
    <col min="13306" max="13306" width="9.140625" style="178"/>
    <col min="13307" max="13307" width="11.42578125" style="178" customWidth="1"/>
    <col min="13308" max="13541" width="9.140625" style="178"/>
    <col min="13542" max="13542" width="3.140625" style="178" customWidth="1"/>
    <col min="13543" max="13543" width="6.140625" style="178" customWidth="1"/>
    <col min="13544" max="13544" width="10.28515625" style="178" customWidth="1"/>
    <col min="13545" max="13545" width="34.140625" style="178" customWidth="1"/>
    <col min="13546" max="13546" width="9.28515625" style="178" customWidth="1"/>
    <col min="13547" max="13548" width="12.140625" style="178" customWidth="1"/>
    <col min="13549" max="13559" width="9.85546875" style="178" customWidth="1"/>
    <col min="13560" max="13560" width="11.5703125" style="178" customWidth="1"/>
    <col min="13561" max="13561" width="12.7109375" style="178" customWidth="1"/>
    <col min="13562" max="13562" width="9.140625" style="178"/>
    <col min="13563" max="13563" width="11.42578125" style="178" customWidth="1"/>
    <col min="13564" max="13797" width="9.140625" style="178"/>
    <col min="13798" max="13798" width="3.140625" style="178" customWidth="1"/>
    <col min="13799" max="13799" width="6.140625" style="178" customWidth="1"/>
    <col min="13800" max="13800" width="10.28515625" style="178" customWidth="1"/>
    <col min="13801" max="13801" width="34.140625" style="178" customWidth="1"/>
    <col min="13802" max="13802" width="9.28515625" style="178" customWidth="1"/>
    <col min="13803" max="13804" width="12.140625" style="178" customWidth="1"/>
    <col min="13805" max="13815" width="9.85546875" style="178" customWidth="1"/>
    <col min="13816" max="13816" width="11.5703125" style="178" customWidth="1"/>
    <col min="13817" max="13817" width="12.7109375" style="178" customWidth="1"/>
    <col min="13818" max="13818" width="9.140625" style="178"/>
    <col min="13819" max="13819" width="11.42578125" style="178" customWidth="1"/>
    <col min="13820" max="14053" width="9.140625" style="178"/>
    <col min="14054" max="14054" width="3.140625" style="178" customWidth="1"/>
    <col min="14055" max="14055" width="6.140625" style="178" customWidth="1"/>
    <col min="14056" max="14056" width="10.28515625" style="178" customWidth="1"/>
    <col min="14057" max="14057" width="34.140625" style="178" customWidth="1"/>
    <col min="14058" max="14058" width="9.28515625" style="178" customWidth="1"/>
    <col min="14059" max="14060" width="12.140625" style="178" customWidth="1"/>
    <col min="14061" max="14071" width="9.85546875" style="178" customWidth="1"/>
    <col min="14072" max="14072" width="11.5703125" style="178" customWidth="1"/>
    <col min="14073" max="14073" width="12.7109375" style="178" customWidth="1"/>
    <col min="14074" max="14074" width="9.140625" style="178"/>
    <col min="14075" max="14075" width="11.42578125" style="178" customWidth="1"/>
    <col min="14076" max="14309" width="9.140625" style="178"/>
    <col min="14310" max="14310" width="3.140625" style="178" customWidth="1"/>
    <col min="14311" max="14311" width="6.140625" style="178" customWidth="1"/>
    <col min="14312" max="14312" width="10.28515625" style="178" customWidth="1"/>
    <col min="14313" max="14313" width="34.140625" style="178" customWidth="1"/>
    <col min="14314" max="14314" width="9.28515625" style="178" customWidth="1"/>
    <col min="14315" max="14316" width="12.140625" style="178" customWidth="1"/>
    <col min="14317" max="14327" width="9.85546875" style="178" customWidth="1"/>
    <col min="14328" max="14328" width="11.5703125" style="178" customWidth="1"/>
    <col min="14329" max="14329" width="12.7109375" style="178" customWidth="1"/>
    <col min="14330" max="14330" width="9.140625" style="178"/>
    <col min="14331" max="14331" width="11.42578125" style="178" customWidth="1"/>
    <col min="14332" max="14565" width="9.140625" style="178"/>
    <col min="14566" max="14566" width="3.140625" style="178" customWidth="1"/>
    <col min="14567" max="14567" width="6.140625" style="178" customWidth="1"/>
    <col min="14568" max="14568" width="10.28515625" style="178" customWidth="1"/>
    <col min="14569" max="14569" width="34.140625" style="178" customWidth="1"/>
    <col min="14570" max="14570" width="9.28515625" style="178" customWidth="1"/>
    <col min="14571" max="14572" width="12.140625" style="178" customWidth="1"/>
    <col min="14573" max="14583" width="9.85546875" style="178" customWidth="1"/>
    <col min="14584" max="14584" width="11.5703125" style="178" customWidth="1"/>
    <col min="14585" max="14585" width="12.7109375" style="178" customWidth="1"/>
    <col min="14586" max="14586" width="9.140625" style="178"/>
    <col min="14587" max="14587" width="11.42578125" style="178" customWidth="1"/>
    <col min="14588" max="14821" width="9.140625" style="178"/>
    <col min="14822" max="14822" width="3.140625" style="178" customWidth="1"/>
    <col min="14823" max="14823" width="6.140625" style="178" customWidth="1"/>
    <col min="14824" max="14824" width="10.28515625" style="178" customWidth="1"/>
    <col min="14825" max="14825" width="34.140625" style="178" customWidth="1"/>
    <col min="14826" max="14826" width="9.28515625" style="178" customWidth="1"/>
    <col min="14827" max="14828" width="12.140625" style="178" customWidth="1"/>
    <col min="14829" max="14839" width="9.85546875" style="178" customWidth="1"/>
    <col min="14840" max="14840" width="11.5703125" style="178" customWidth="1"/>
    <col min="14841" max="14841" width="12.7109375" style="178" customWidth="1"/>
    <col min="14842" max="14842" width="9.140625" style="178"/>
    <col min="14843" max="14843" width="11.42578125" style="178" customWidth="1"/>
    <col min="14844" max="15077" width="9.140625" style="178"/>
    <col min="15078" max="15078" width="3.140625" style="178" customWidth="1"/>
    <col min="15079" max="15079" width="6.140625" style="178" customWidth="1"/>
    <col min="15080" max="15080" width="10.28515625" style="178" customWidth="1"/>
    <col min="15081" max="15081" width="34.140625" style="178" customWidth="1"/>
    <col min="15082" max="15082" width="9.28515625" style="178" customWidth="1"/>
    <col min="15083" max="15084" width="12.140625" style="178" customWidth="1"/>
    <col min="15085" max="15095" width="9.85546875" style="178" customWidth="1"/>
    <col min="15096" max="15096" width="11.5703125" style="178" customWidth="1"/>
    <col min="15097" max="15097" width="12.7109375" style="178" customWidth="1"/>
    <col min="15098" max="15098" width="9.140625" style="178"/>
    <col min="15099" max="15099" width="11.42578125" style="178" customWidth="1"/>
    <col min="15100" max="15333" width="9.140625" style="178"/>
    <col min="15334" max="15334" width="3.140625" style="178" customWidth="1"/>
    <col min="15335" max="15335" width="6.140625" style="178" customWidth="1"/>
    <col min="15336" max="15336" width="10.28515625" style="178" customWidth="1"/>
    <col min="15337" max="15337" width="34.140625" style="178" customWidth="1"/>
    <col min="15338" max="15338" width="9.28515625" style="178" customWidth="1"/>
    <col min="15339" max="15340" width="12.140625" style="178" customWidth="1"/>
    <col min="15341" max="15351" width="9.85546875" style="178" customWidth="1"/>
    <col min="15352" max="15352" width="11.5703125" style="178" customWidth="1"/>
    <col min="15353" max="15353" width="12.7109375" style="178" customWidth="1"/>
    <col min="15354" max="15354" width="9.140625" style="178"/>
    <col min="15355" max="15355" width="11.42578125" style="178" customWidth="1"/>
    <col min="15356" max="15589" width="9.140625" style="178"/>
    <col min="15590" max="15590" width="3.140625" style="178" customWidth="1"/>
    <col min="15591" max="15591" width="6.140625" style="178" customWidth="1"/>
    <col min="15592" max="15592" width="10.28515625" style="178" customWidth="1"/>
    <col min="15593" max="15593" width="34.140625" style="178" customWidth="1"/>
    <col min="15594" max="15594" width="9.28515625" style="178" customWidth="1"/>
    <col min="15595" max="15596" width="12.140625" style="178" customWidth="1"/>
    <col min="15597" max="15607" width="9.85546875" style="178" customWidth="1"/>
    <col min="15608" max="15608" width="11.5703125" style="178" customWidth="1"/>
    <col min="15609" max="15609" width="12.7109375" style="178" customWidth="1"/>
    <col min="15610" max="15610" width="9.140625" style="178"/>
    <col min="15611" max="15611" width="11.42578125" style="178" customWidth="1"/>
    <col min="15612" max="15845" width="9.140625" style="178"/>
    <col min="15846" max="15846" width="3.140625" style="178" customWidth="1"/>
    <col min="15847" max="15847" width="6.140625" style="178" customWidth="1"/>
    <col min="15848" max="15848" width="10.28515625" style="178" customWidth="1"/>
    <col min="15849" max="15849" width="34.140625" style="178" customWidth="1"/>
    <col min="15850" max="15850" width="9.28515625" style="178" customWidth="1"/>
    <col min="15851" max="15852" width="12.140625" style="178" customWidth="1"/>
    <col min="15853" max="15863" width="9.85546875" style="178" customWidth="1"/>
    <col min="15864" max="15864" width="11.5703125" style="178" customWidth="1"/>
    <col min="15865" max="15865" width="12.7109375" style="178" customWidth="1"/>
    <col min="15866" max="15866" width="9.140625" style="178"/>
    <col min="15867" max="15867" width="11.42578125" style="178" customWidth="1"/>
    <col min="15868" max="16101" width="9.140625" style="178"/>
    <col min="16102" max="16102" width="3.140625" style="178" customWidth="1"/>
    <col min="16103" max="16103" width="6.140625" style="178" customWidth="1"/>
    <col min="16104" max="16104" width="10.28515625" style="178" customWidth="1"/>
    <col min="16105" max="16105" width="34.140625" style="178" customWidth="1"/>
    <col min="16106" max="16106" width="9.28515625" style="178" customWidth="1"/>
    <col min="16107" max="16108" width="12.140625" style="178" customWidth="1"/>
    <col min="16109" max="16119" width="9.85546875" style="178" customWidth="1"/>
    <col min="16120" max="16120" width="11.5703125" style="178" customWidth="1"/>
    <col min="16121" max="16121" width="12.7109375" style="178" customWidth="1"/>
    <col min="16122" max="16122" width="9.140625" style="178"/>
    <col min="16123" max="16123" width="11.42578125" style="178" customWidth="1"/>
    <col min="16124" max="16384" width="9.140625" style="178"/>
  </cols>
  <sheetData>
    <row r="1" spans="2:6" s="172" customFormat="1" ht="38.25" customHeight="1" x14ac:dyDescent="0.25">
      <c r="B1" s="341" t="s">
        <v>56</v>
      </c>
      <c r="C1" s="341"/>
      <c r="D1" s="341"/>
      <c r="E1" s="341"/>
      <c r="F1" s="341"/>
    </row>
    <row r="2" spans="2:6" s="173" customFormat="1" ht="27.75" customHeight="1" x14ac:dyDescent="0.25">
      <c r="B2" s="342" t="s">
        <v>765</v>
      </c>
      <c r="C2" s="342"/>
      <c r="D2" s="342"/>
      <c r="E2" s="342"/>
      <c r="F2" s="342"/>
    </row>
    <row r="3" spans="2:6" s="173" customFormat="1" ht="18.75" customHeight="1" x14ac:dyDescent="0.25">
      <c r="B3" s="347" t="s">
        <v>11</v>
      </c>
      <c r="C3" s="349" t="s">
        <v>12</v>
      </c>
      <c r="D3" s="349"/>
      <c r="E3" s="349" t="s">
        <v>13</v>
      </c>
      <c r="F3" s="350" t="s">
        <v>14</v>
      </c>
    </row>
    <row r="4" spans="2:6" s="174" customFormat="1" ht="45" customHeight="1" x14ac:dyDescent="0.25">
      <c r="B4" s="348"/>
      <c r="C4" s="349"/>
      <c r="D4" s="349"/>
      <c r="E4" s="349"/>
      <c r="F4" s="350"/>
    </row>
    <row r="5" spans="2:6" s="174" customFormat="1" ht="32.25" customHeight="1" x14ac:dyDescent="0.25">
      <c r="B5" s="129">
        <v>1</v>
      </c>
      <c r="C5" s="343" t="s">
        <v>850</v>
      </c>
      <c r="D5" s="344"/>
      <c r="E5" s="130" t="s">
        <v>7</v>
      </c>
      <c r="F5" s="131">
        <v>795.5</v>
      </c>
    </row>
    <row r="6" spans="2:6" s="174" customFormat="1" ht="21.75" customHeight="1" x14ac:dyDescent="0.25">
      <c r="B6" s="129"/>
      <c r="C6" s="345" t="s">
        <v>814</v>
      </c>
      <c r="D6" s="346"/>
      <c r="E6" s="134" t="s">
        <v>53</v>
      </c>
      <c r="F6" s="135">
        <f>0.4*F5</f>
        <v>318.20000000000005</v>
      </c>
    </row>
    <row r="7" spans="2:6" s="175" customFormat="1" ht="18.75" customHeight="1" x14ac:dyDescent="0.25">
      <c r="B7" s="133"/>
      <c r="C7" s="345" t="s">
        <v>812</v>
      </c>
      <c r="D7" s="346"/>
      <c r="E7" s="134" t="s">
        <v>6</v>
      </c>
      <c r="F7" s="135">
        <f>F5*4</f>
        <v>3182</v>
      </c>
    </row>
    <row r="8" spans="2:6" s="175" customFormat="1" ht="18.75" customHeight="1" x14ac:dyDescent="0.25">
      <c r="B8" s="133"/>
      <c r="C8" s="176"/>
      <c r="D8" s="177" t="s">
        <v>818</v>
      </c>
      <c r="E8" s="134" t="s">
        <v>0</v>
      </c>
      <c r="F8" s="135">
        <f>F5*0.05*1.05</f>
        <v>41.763750000000009</v>
      </c>
    </row>
    <row r="9" spans="2:6" s="175" customFormat="1" ht="18.75" customHeight="1" x14ac:dyDescent="0.25">
      <c r="B9" s="133"/>
      <c r="C9" s="345" t="s">
        <v>815</v>
      </c>
      <c r="D9" s="346"/>
      <c r="E9" s="134" t="s">
        <v>6</v>
      </c>
      <c r="F9" s="135">
        <f>F5*12</f>
        <v>9546</v>
      </c>
    </row>
    <row r="10" spans="2:6" x14ac:dyDescent="0.3">
      <c r="B10" s="179"/>
      <c r="C10" s="345" t="s">
        <v>816</v>
      </c>
      <c r="D10" s="346"/>
      <c r="E10" s="134" t="s">
        <v>7</v>
      </c>
      <c r="F10" s="135">
        <f>1.1*F5</f>
        <v>875.05000000000007</v>
      </c>
    </row>
    <row r="11" spans="2:6" s="175" customFormat="1" ht="18.75" customHeight="1" x14ac:dyDescent="0.25">
      <c r="B11" s="180"/>
      <c r="C11" s="345" t="s">
        <v>817</v>
      </c>
      <c r="D11" s="346"/>
      <c r="E11" s="134" t="s">
        <v>51</v>
      </c>
      <c r="F11" s="135">
        <f>10*F5</f>
        <v>7955</v>
      </c>
    </row>
    <row r="12" spans="2:6" s="175" customFormat="1" ht="18.75" customHeight="1" x14ac:dyDescent="0.25">
      <c r="B12" s="133"/>
      <c r="C12" s="345" t="s">
        <v>811</v>
      </c>
      <c r="D12" s="346"/>
      <c r="E12" s="134" t="s">
        <v>6</v>
      </c>
      <c r="F12" s="135">
        <f>F5*0.57</f>
        <v>453.43499999999995</v>
      </c>
    </row>
    <row r="13" spans="2:6" s="175" customFormat="1" ht="52.5" customHeight="1" x14ac:dyDescent="0.25">
      <c r="B13" s="129">
        <v>2</v>
      </c>
      <c r="C13" s="343" t="s">
        <v>849</v>
      </c>
      <c r="D13" s="344"/>
      <c r="E13" s="130" t="s">
        <v>7</v>
      </c>
      <c r="F13" s="131">
        <v>583.4</v>
      </c>
    </row>
    <row r="14" spans="2:6" s="175" customFormat="1" ht="34.5" customHeight="1" x14ac:dyDescent="0.25">
      <c r="B14" s="133"/>
      <c r="C14" s="176"/>
      <c r="D14" s="177" t="s">
        <v>819</v>
      </c>
      <c r="E14" s="134" t="s">
        <v>0</v>
      </c>
      <c r="F14" s="135">
        <f>F13*1.05*0.05</f>
        <v>30.628500000000003</v>
      </c>
    </row>
    <row r="15" spans="2:6" s="175" customFormat="1" ht="18.75" customHeight="1" x14ac:dyDescent="0.25">
      <c r="B15" s="133"/>
      <c r="C15" s="345" t="s">
        <v>815</v>
      </c>
      <c r="D15" s="346"/>
      <c r="E15" s="134" t="s">
        <v>6</v>
      </c>
      <c r="F15" s="135">
        <f>F13*11</f>
        <v>6417.4</v>
      </c>
    </row>
    <row r="16" spans="2:6" s="175" customFormat="1" ht="18.75" customHeight="1" x14ac:dyDescent="0.25">
      <c r="B16" s="133"/>
      <c r="C16" s="345" t="s">
        <v>816</v>
      </c>
      <c r="D16" s="346"/>
      <c r="E16" s="134" t="s">
        <v>7</v>
      </c>
      <c r="F16" s="135">
        <f>1.1*F13</f>
        <v>641.74</v>
      </c>
    </row>
    <row r="17" spans="2:6" s="175" customFormat="1" ht="18.75" customHeight="1" x14ac:dyDescent="0.25">
      <c r="B17" s="133"/>
      <c r="C17" s="345" t="s">
        <v>817</v>
      </c>
      <c r="D17" s="346"/>
      <c r="E17" s="134" t="s">
        <v>51</v>
      </c>
      <c r="F17" s="135">
        <f>10*F13</f>
        <v>5834</v>
      </c>
    </row>
    <row r="18" spans="2:6" s="174" customFormat="1" ht="42.75" customHeight="1" x14ac:dyDescent="0.25">
      <c r="B18" s="129">
        <v>2</v>
      </c>
      <c r="C18" s="343" t="s">
        <v>766</v>
      </c>
      <c r="D18" s="344"/>
      <c r="E18" s="130" t="s">
        <v>7</v>
      </c>
      <c r="F18" s="131">
        <v>30.85</v>
      </c>
    </row>
    <row r="19" spans="2:6" s="175" customFormat="1" ht="18.75" customHeight="1" x14ac:dyDescent="0.25">
      <c r="B19" s="133"/>
      <c r="C19" s="345" t="s">
        <v>767</v>
      </c>
      <c r="D19" s="346"/>
      <c r="E19" s="134" t="s">
        <v>7</v>
      </c>
      <c r="F19" s="135">
        <f>F18</f>
        <v>30.85</v>
      </c>
    </row>
    <row r="20" spans="2:6" s="175" customFormat="1" ht="32.25" customHeight="1" x14ac:dyDescent="0.25">
      <c r="B20" s="129">
        <v>3</v>
      </c>
      <c r="C20" s="343" t="s">
        <v>851</v>
      </c>
      <c r="D20" s="344"/>
      <c r="E20" s="130" t="s">
        <v>7</v>
      </c>
      <c r="F20" s="131">
        <v>759.5</v>
      </c>
    </row>
    <row r="21" spans="2:6" s="175" customFormat="1" ht="18.75" customHeight="1" x14ac:dyDescent="0.25">
      <c r="B21" s="129"/>
      <c r="C21" s="345" t="s">
        <v>814</v>
      </c>
      <c r="D21" s="346"/>
      <c r="E21" s="134" t="s">
        <v>53</v>
      </c>
      <c r="F21" s="135">
        <f>0.4*F20</f>
        <v>303.8</v>
      </c>
    </row>
    <row r="22" spans="2:6" s="175" customFormat="1" ht="18.75" customHeight="1" x14ac:dyDescent="0.25">
      <c r="B22" s="133"/>
      <c r="C22" s="345" t="s">
        <v>812</v>
      </c>
      <c r="D22" s="346"/>
      <c r="E22" s="134" t="s">
        <v>6</v>
      </c>
      <c r="F22" s="135">
        <f>F20*4</f>
        <v>3038</v>
      </c>
    </row>
    <row r="23" spans="2:6" s="175" customFormat="1" ht="18.75" customHeight="1" x14ac:dyDescent="0.25">
      <c r="B23" s="133"/>
      <c r="C23" s="345" t="s">
        <v>811</v>
      </c>
      <c r="D23" s="346"/>
      <c r="E23" s="134" t="s">
        <v>6</v>
      </c>
      <c r="F23" s="135">
        <f>F20*0.57</f>
        <v>432.91499999999996</v>
      </c>
    </row>
    <row r="24" spans="2:6" s="175" customFormat="1" ht="34.5" customHeight="1" x14ac:dyDescent="0.25">
      <c r="B24" s="129">
        <v>4</v>
      </c>
      <c r="C24" s="343" t="s">
        <v>852</v>
      </c>
      <c r="D24" s="344"/>
      <c r="E24" s="130" t="s">
        <v>7</v>
      </c>
      <c r="F24" s="131">
        <v>199.3</v>
      </c>
    </row>
    <row r="25" spans="2:6" s="175" customFormat="1" ht="18.75" customHeight="1" x14ac:dyDescent="0.25">
      <c r="B25" s="133"/>
      <c r="C25" s="176"/>
      <c r="D25" s="177" t="s">
        <v>818</v>
      </c>
      <c r="E25" s="134" t="s">
        <v>0</v>
      </c>
      <c r="F25" s="135">
        <f>F24*0.05*1.05</f>
        <v>10.463250000000002</v>
      </c>
    </row>
    <row r="26" spans="2:6" s="175" customFormat="1" ht="18.75" customHeight="1" x14ac:dyDescent="0.25">
      <c r="B26" s="133"/>
      <c r="C26" s="345" t="s">
        <v>815</v>
      </c>
      <c r="D26" s="346"/>
      <c r="E26" s="134" t="s">
        <v>6</v>
      </c>
      <c r="F26" s="135">
        <f>F24*12</f>
        <v>2391.6000000000004</v>
      </c>
    </row>
    <row r="27" spans="2:6" s="175" customFormat="1" ht="18.75" customHeight="1" x14ac:dyDescent="0.25">
      <c r="B27" s="133"/>
      <c r="C27" s="345" t="s">
        <v>816</v>
      </c>
      <c r="D27" s="346"/>
      <c r="E27" s="134" t="s">
        <v>7</v>
      </c>
      <c r="F27" s="135">
        <f>1.1*F24</f>
        <v>219.23000000000002</v>
      </c>
    </row>
    <row r="28" spans="2:6" s="175" customFormat="1" ht="18.75" customHeight="1" x14ac:dyDescent="0.25">
      <c r="B28" s="133"/>
      <c r="C28" s="345" t="s">
        <v>817</v>
      </c>
      <c r="D28" s="346"/>
      <c r="E28" s="134" t="s">
        <v>51</v>
      </c>
      <c r="F28" s="135">
        <f>10*F24</f>
        <v>1993</v>
      </c>
    </row>
  </sheetData>
  <mergeCells count="27">
    <mergeCell ref="C28:D28"/>
    <mergeCell ref="C24:D24"/>
    <mergeCell ref="C23:D23"/>
    <mergeCell ref="C26:D26"/>
    <mergeCell ref="C27:D27"/>
    <mergeCell ref="C18:D18"/>
    <mergeCell ref="C19:D19"/>
    <mergeCell ref="C20:D20"/>
    <mergeCell ref="C21:D21"/>
    <mergeCell ref="C22:D22"/>
    <mergeCell ref="C17:D17"/>
    <mergeCell ref="C12:D12"/>
    <mergeCell ref="B3:B4"/>
    <mergeCell ref="C3:D4"/>
    <mergeCell ref="E3:E4"/>
    <mergeCell ref="C6:D6"/>
    <mergeCell ref="C10:D10"/>
    <mergeCell ref="C11:D11"/>
    <mergeCell ref="C5:D5"/>
    <mergeCell ref="C7:D7"/>
    <mergeCell ref="C9:D9"/>
    <mergeCell ref="B1:F1"/>
    <mergeCell ref="B2:F2"/>
    <mergeCell ref="C13:D13"/>
    <mergeCell ref="C15:D15"/>
    <mergeCell ref="C16:D16"/>
    <mergeCell ref="F3:F4"/>
  </mergeCells>
  <pageMargins left="0.7" right="0.7" top="0.75" bottom="0.75" header="0.3" footer="0.3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F73"/>
  <sheetViews>
    <sheetView zoomScaleNormal="100" workbookViewId="0">
      <pane ySplit="4" topLeftCell="A5" activePane="bottomLeft" state="frozen"/>
      <selection pane="bottomLeft" activeCell="H13" sqref="H13"/>
    </sheetView>
  </sheetViews>
  <sheetFormatPr defaultRowHeight="18.75" x14ac:dyDescent="0.3"/>
  <cols>
    <col min="1" max="1" width="3.28515625" style="51" customWidth="1"/>
    <col min="2" max="2" width="6.140625" style="51" customWidth="1"/>
    <col min="3" max="3" width="10.28515625" style="51" customWidth="1"/>
    <col min="4" max="4" width="34.85546875" style="51" customWidth="1"/>
    <col min="5" max="5" width="9.28515625" style="51" customWidth="1"/>
    <col min="6" max="6" width="15.7109375" style="194" customWidth="1"/>
    <col min="7" max="224" width="9.140625" style="51"/>
    <col min="225" max="225" width="3.140625" style="51" customWidth="1"/>
    <col min="226" max="226" width="6.140625" style="51" customWidth="1"/>
    <col min="227" max="227" width="10.28515625" style="51" customWidth="1"/>
    <col min="228" max="228" width="34.140625" style="51" customWidth="1"/>
    <col min="229" max="229" width="9.28515625" style="51" customWidth="1"/>
    <col min="230" max="231" width="12.140625" style="51" customWidth="1"/>
    <col min="232" max="242" width="9.85546875" style="51" customWidth="1"/>
    <col min="243" max="243" width="11.5703125" style="51" customWidth="1"/>
    <col min="244" max="244" width="12.7109375" style="51" customWidth="1"/>
    <col min="245" max="245" width="9.140625" style="51"/>
    <col min="246" max="246" width="11.42578125" style="51" customWidth="1"/>
    <col min="247" max="480" width="9.140625" style="51"/>
    <col min="481" max="481" width="3.140625" style="51" customWidth="1"/>
    <col min="482" max="482" width="6.140625" style="51" customWidth="1"/>
    <col min="483" max="483" width="10.28515625" style="51" customWidth="1"/>
    <col min="484" max="484" width="34.140625" style="51" customWidth="1"/>
    <col min="485" max="485" width="9.28515625" style="51" customWidth="1"/>
    <col min="486" max="487" width="12.140625" style="51" customWidth="1"/>
    <col min="488" max="498" width="9.85546875" style="51" customWidth="1"/>
    <col min="499" max="499" width="11.5703125" style="51" customWidth="1"/>
    <col min="500" max="500" width="12.7109375" style="51" customWidth="1"/>
    <col min="501" max="501" width="9.140625" style="51"/>
    <col min="502" max="502" width="11.42578125" style="51" customWidth="1"/>
    <col min="503" max="736" width="9.140625" style="51"/>
    <col min="737" max="737" width="3.140625" style="51" customWidth="1"/>
    <col min="738" max="738" width="6.140625" style="51" customWidth="1"/>
    <col min="739" max="739" width="10.28515625" style="51" customWidth="1"/>
    <col min="740" max="740" width="34.140625" style="51" customWidth="1"/>
    <col min="741" max="741" width="9.28515625" style="51" customWidth="1"/>
    <col min="742" max="743" width="12.140625" style="51" customWidth="1"/>
    <col min="744" max="754" width="9.85546875" style="51" customWidth="1"/>
    <col min="755" max="755" width="11.5703125" style="51" customWidth="1"/>
    <col min="756" max="756" width="12.7109375" style="51" customWidth="1"/>
    <col min="757" max="757" width="9.140625" style="51"/>
    <col min="758" max="758" width="11.42578125" style="51" customWidth="1"/>
    <col min="759" max="992" width="9.140625" style="51"/>
    <col min="993" max="993" width="3.140625" style="51" customWidth="1"/>
    <col min="994" max="994" width="6.140625" style="51" customWidth="1"/>
    <col min="995" max="995" width="10.28515625" style="51" customWidth="1"/>
    <col min="996" max="996" width="34.140625" style="51" customWidth="1"/>
    <col min="997" max="997" width="9.28515625" style="51" customWidth="1"/>
    <col min="998" max="999" width="12.140625" style="51" customWidth="1"/>
    <col min="1000" max="1010" width="9.85546875" style="51" customWidth="1"/>
    <col min="1011" max="1011" width="11.5703125" style="51" customWidth="1"/>
    <col min="1012" max="1012" width="12.7109375" style="51" customWidth="1"/>
    <col min="1013" max="1013" width="9.140625" style="51"/>
    <col min="1014" max="1014" width="11.42578125" style="51" customWidth="1"/>
    <col min="1015" max="1248" width="9.140625" style="51"/>
    <col min="1249" max="1249" width="3.140625" style="51" customWidth="1"/>
    <col min="1250" max="1250" width="6.140625" style="51" customWidth="1"/>
    <col min="1251" max="1251" width="10.28515625" style="51" customWidth="1"/>
    <col min="1252" max="1252" width="34.140625" style="51" customWidth="1"/>
    <col min="1253" max="1253" width="9.28515625" style="51" customWidth="1"/>
    <col min="1254" max="1255" width="12.140625" style="51" customWidth="1"/>
    <col min="1256" max="1266" width="9.85546875" style="51" customWidth="1"/>
    <col min="1267" max="1267" width="11.5703125" style="51" customWidth="1"/>
    <col min="1268" max="1268" width="12.7109375" style="51" customWidth="1"/>
    <col min="1269" max="1269" width="9.140625" style="51"/>
    <col min="1270" max="1270" width="11.42578125" style="51" customWidth="1"/>
    <col min="1271" max="1504" width="9.140625" style="51"/>
    <col min="1505" max="1505" width="3.140625" style="51" customWidth="1"/>
    <col min="1506" max="1506" width="6.140625" style="51" customWidth="1"/>
    <col min="1507" max="1507" width="10.28515625" style="51" customWidth="1"/>
    <col min="1508" max="1508" width="34.140625" style="51" customWidth="1"/>
    <col min="1509" max="1509" width="9.28515625" style="51" customWidth="1"/>
    <col min="1510" max="1511" width="12.140625" style="51" customWidth="1"/>
    <col min="1512" max="1522" width="9.85546875" style="51" customWidth="1"/>
    <col min="1523" max="1523" width="11.5703125" style="51" customWidth="1"/>
    <col min="1524" max="1524" width="12.7109375" style="51" customWidth="1"/>
    <col min="1525" max="1525" width="9.140625" style="51"/>
    <col min="1526" max="1526" width="11.42578125" style="51" customWidth="1"/>
    <col min="1527" max="1760" width="9.140625" style="51"/>
    <col min="1761" max="1761" width="3.140625" style="51" customWidth="1"/>
    <col min="1762" max="1762" width="6.140625" style="51" customWidth="1"/>
    <col min="1763" max="1763" width="10.28515625" style="51" customWidth="1"/>
    <col min="1764" max="1764" width="34.140625" style="51" customWidth="1"/>
    <col min="1765" max="1765" width="9.28515625" style="51" customWidth="1"/>
    <col min="1766" max="1767" width="12.140625" style="51" customWidth="1"/>
    <col min="1768" max="1778" width="9.85546875" style="51" customWidth="1"/>
    <col min="1779" max="1779" width="11.5703125" style="51" customWidth="1"/>
    <col min="1780" max="1780" width="12.7109375" style="51" customWidth="1"/>
    <col min="1781" max="1781" width="9.140625" style="51"/>
    <col min="1782" max="1782" width="11.42578125" style="51" customWidth="1"/>
    <col min="1783" max="2016" width="9.140625" style="51"/>
    <col min="2017" max="2017" width="3.140625" style="51" customWidth="1"/>
    <col min="2018" max="2018" width="6.140625" style="51" customWidth="1"/>
    <col min="2019" max="2019" width="10.28515625" style="51" customWidth="1"/>
    <col min="2020" max="2020" width="34.140625" style="51" customWidth="1"/>
    <col min="2021" max="2021" width="9.28515625" style="51" customWidth="1"/>
    <col min="2022" max="2023" width="12.140625" style="51" customWidth="1"/>
    <col min="2024" max="2034" width="9.85546875" style="51" customWidth="1"/>
    <col min="2035" max="2035" width="11.5703125" style="51" customWidth="1"/>
    <col min="2036" max="2036" width="12.7109375" style="51" customWidth="1"/>
    <col min="2037" max="2037" width="9.140625" style="51"/>
    <col min="2038" max="2038" width="11.42578125" style="51" customWidth="1"/>
    <col min="2039" max="2272" width="9.140625" style="51"/>
    <col min="2273" max="2273" width="3.140625" style="51" customWidth="1"/>
    <col min="2274" max="2274" width="6.140625" style="51" customWidth="1"/>
    <col min="2275" max="2275" width="10.28515625" style="51" customWidth="1"/>
    <col min="2276" max="2276" width="34.140625" style="51" customWidth="1"/>
    <col min="2277" max="2277" width="9.28515625" style="51" customWidth="1"/>
    <col min="2278" max="2279" width="12.140625" style="51" customWidth="1"/>
    <col min="2280" max="2290" width="9.85546875" style="51" customWidth="1"/>
    <col min="2291" max="2291" width="11.5703125" style="51" customWidth="1"/>
    <col min="2292" max="2292" width="12.7109375" style="51" customWidth="1"/>
    <col min="2293" max="2293" width="9.140625" style="51"/>
    <col min="2294" max="2294" width="11.42578125" style="51" customWidth="1"/>
    <col min="2295" max="2528" width="9.140625" style="51"/>
    <col min="2529" max="2529" width="3.140625" style="51" customWidth="1"/>
    <col min="2530" max="2530" width="6.140625" style="51" customWidth="1"/>
    <col min="2531" max="2531" width="10.28515625" style="51" customWidth="1"/>
    <col min="2532" max="2532" width="34.140625" style="51" customWidth="1"/>
    <col min="2533" max="2533" width="9.28515625" style="51" customWidth="1"/>
    <col min="2534" max="2535" width="12.140625" style="51" customWidth="1"/>
    <col min="2536" max="2546" width="9.85546875" style="51" customWidth="1"/>
    <col min="2547" max="2547" width="11.5703125" style="51" customWidth="1"/>
    <col min="2548" max="2548" width="12.7109375" style="51" customWidth="1"/>
    <col min="2549" max="2549" width="9.140625" style="51"/>
    <col min="2550" max="2550" width="11.42578125" style="51" customWidth="1"/>
    <col min="2551" max="2784" width="9.140625" style="51"/>
    <col min="2785" max="2785" width="3.140625" style="51" customWidth="1"/>
    <col min="2786" max="2786" width="6.140625" style="51" customWidth="1"/>
    <col min="2787" max="2787" width="10.28515625" style="51" customWidth="1"/>
    <col min="2788" max="2788" width="34.140625" style="51" customWidth="1"/>
    <col min="2789" max="2789" width="9.28515625" style="51" customWidth="1"/>
    <col min="2790" max="2791" width="12.140625" style="51" customWidth="1"/>
    <col min="2792" max="2802" width="9.85546875" style="51" customWidth="1"/>
    <col min="2803" max="2803" width="11.5703125" style="51" customWidth="1"/>
    <col min="2804" max="2804" width="12.7109375" style="51" customWidth="1"/>
    <col min="2805" max="2805" width="9.140625" style="51"/>
    <col min="2806" max="2806" width="11.42578125" style="51" customWidth="1"/>
    <col min="2807" max="3040" width="9.140625" style="51"/>
    <col min="3041" max="3041" width="3.140625" style="51" customWidth="1"/>
    <col min="3042" max="3042" width="6.140625" style="51" customWidth="1"/>
    <col min="3043" max="3043" width="10.28515625" style="51" customWidth="1"/>
    <col min="3044" max="3044" width="34.140625" style="51" customWidth="1"/>
    <col min="3045" max="3045" width="9.28515625" style="51" customWidth="1"/>
    <col min="3046" max="3047" width="12.140625" style="51" customWidth="1"/>
    <col min="3048" max="3058" width="9.85546875" style="51" customWidth="1"/>
    <col min="3059" max="3059" width="11.5703125" style="51" customWidth="1"/>
    <col min="3060" max="3060" width="12.7109375" style="51" customWidth="1"/>
    <col min="3061" max="3061" width="9.140625" style="51"/>
    <col min="3062" max="3062" width="11.42578125" style="51" customWidth="1"/>
    <col min="3063" max="3296" width="9.140625" style="51"/>
    <col min="3297" max="3297" width="3.140625" style="51" customWidth="1"/>
    <col min="3298" max="3298" width="6.140625" style="51" customWidth="1"/>
    <col min="3299" max="3299" width="10.28515625" style="51" customWidth="1"/>
    <col min="3300" max="3300" width="34.140625" style="51" customWidth="1"/>
    <col min="3301" max="3301" width="9.28515625" style="51" customWidth="1"/>
    <col min="3302" max="3303" width="12.140625" style="51" customWidth="1"/>
    <col min="3304" max="3314" width="9.85546875" style="51" customWidth="1"/>
    <col min="3315" max="3315" width="11.5703125" style="51" customWidth="1"/>
    <col min="3316" max="3316" width="12.7109375" style="51" customWidth="1"/>
    <col min="3317" max="3317" width="9.140625" style="51"/>
    <col min="3318" max="3318" width="11.42578125" style="51" customWidth="1"/>
    <col min="3319" max="3552" width="9.140625" style="51"/>
    <col min="3553" max="3553" width="3.140625" style="51" customWidth="1"/>
    <col min="3554" max="3554" width="6.140625" style="51" customWidth="1"/>
    <col min="3555" max="3555" width="10.28515625" style="51" customWidth="1"/>
    <col min="3556" max="3556" width="34.140625" style="51" customWidth="1"/>
    <col min="3557" max="3557" width="9.28515625" style="51" customWidth="1"/>
    <col min="3558" max="3559" width="12.140625" style="51" customWidth="1"/>
    <col min="3560" max="3570" width="9.85546875" style="51" customWidth="1"/>
    <col min="3571" max="3571" width="11.5703125" style="51" customWidth="1"/>
    <col min="3572" max="3572" width="12.7109375" style="51" customWidth="1"/>
    <col min="3573" max="3573" width="9.140625" style="51"/>
    <col min="3574" max="3574" width="11.42578125" style="51" customWidth="1"/>
    <col min="3575" max="3808" width="9.140625" style="51"/>
    <col min="3809" max="3809" width="3.140625" style="51" customWidth="1"/>
    <col min="3810" max="3810" width="6.140625" style="51" customWidth="1"/>
    <col min="3811" max="3811" width="10.28515625" style="51" customWidth="1"/>
    <col min="3812" max="3812" width="34.140625" style="51" customWidth="1"/>
    <col min="3813" max="3813" width="9.28515625" style="51" customWidth="1"/>
    <col min="3814" max="3815" width="12.140625" style="51" customWidth="1"/>
    <col min="3816" max="3826" width="9.85546875" style="51" customWidth="1"/>
    <col min="3827" max="3827" width="11.5703125" style="51" customWidth="1"/>
    <col min="3828" max="3828" width="12.7109375" style="51" customWidth="1"/>
    <col min="3829" max="3829" width="9.140625" style="51"/>
    <col min="3830" max="3830" width="11.42578125" style="51" customWidth="1"/>
    <col min="3831" max="4064" width="9.140625" style="51"/>
    <col min="4065" max="4065" width="3.140625" style="51" customWidth="1"/>
    <col min="4066" max="4066" width="6.140625" style="51" customWidth="1"/>
    <col min="4067" max="4067" width="10.28515625" style="51" customWidth="1"/>
    <col min="4068" max="4068" width="34.140625" style="51" customWidth="1"/>
    <col min="4069" max="4069" width="9.28515625" style="51" customWidth="1"/>
    <col min="4070" max="4071" width="12.140625" style="51" customWidth="1"/>
    <col min="4072" max="4082" width="9.85546875" style="51" customWidth="1"/>
    <col min="4083" max="4083" width="11.5703125" style="51" customWidth="1"/>
    <col min="4084" max="4084" width="12.7109375" style="51" customWidth="1"/>
    <col min="4085" max="4085" width="9.140625" style="51"/>
    <col min="4086" max="4086" width="11.42578125" style="51" customWidth="1"/>
    <col min="4087" max="4320" width="9.140625" style="51"/>
    <col min="4321" max="4321" width="3.140625" style="51" customWidth="1"/>
    <col min="4322" max="4322" width="6.140625" style="51" customWidth="1"/>
    <col min="4323" max="4323" width="10.28515625" style="51" customWidth="1"/>
    <col min="4324" max="4324" width="34.140625" style="51" customWidth="1"/>
    <col min="4325" max="4325" width="9.28515625" style="51" customWidth="1"/>
    <col min="4326" max="4327" width="12.140625" style="51" customWidth="1"/>
    <col min="4328" max="4338" width="9.85546875" style="51" customWidth="1"/>
    <col min="4339" max="4339" width="11.5703125" style="51" customWidth="1"/>
    <col min="4340" max="4340" width="12.7109375" style="51" customWidth="1"/>
    <col min="4341" max="4341" width="9.140625" style="51"/>
    <col min="4342" max="4342" width="11.42578125" style="51" customWidth="1"/>
    <col min="4343" max="4576" width="9.140625" style="51"/>
    <col min="4577" max="4577" width="3.140625" style="51" customWidth="1"/>
    <col min="4578" max="4578" width="6.140625" style="51" customWidth="1"/>
    <col min="4579" max="4579" width="10.28515625" style="51" customWidth="1"/>
    <col min="4580" max="4580" width="34.140625" style="51" customWidth="1"/>
    <col min="4581" max="4581" width="9.28515625" style="51" customWidth="1"/>
    <col min="4582" max="4583" width="12.140625" style="51" customWidth="1"/>
    <col min="4584" max="4594" width="9.85546875" style="51" customWidth="1"/>
    <col min="4595" max="4595" width="11.5703125" style="51" customWidth="1"/>
    <col min="4596" max="4596" width="12.7109375" style="51" customWidth="1"/>
    <col min="4597" max="4597" width="9.140625" style="51"/>
    <col min="4598" max="4598" width="11.42578125" style="51" customWidth="1"/>
    <col min="4599" max="4832" width="9.140625" style="51"/>
    <col min="4833" max="4833" width="3.140625" style="51" customWidth="1"/>
    <col min="4834" max="4834" width="6.140625" style="51" customWidth="1"/>
    <col min="4835" max="4835" width="10.28515625" style="51" customWidth="1"/>
    <col min="4836" max="4836" width="34.140625" style="51" customWidth="1"/>
    <col min="4837" max="4837" width="9.28515625" style="51" customWidth="1"/>
    <col min="4838" max="4839" width="12.140625" style="51" customWidth="1"/>
    <col min="4840" max="4850" width="9.85546875" style="51" customWidth="1"/>
    <col min="4851" max="4851" width="11.5703125" style="51" customWidth="1"/>
    <col min="4852" max="4852" width="12.7109375" style="51" customWidth="1"/>
    <col min="4853" max="4853" width="9.140625" style="51"/>
    <col min="4854" max="4854" width="11.42578125" style="51" customWidth="1"/>
    <col min="4855" max="5088" width="9.140625" style="51"/>
    <col min="5089" max="5089" width="3.140625" style="51" customWidth="1"/>
    <col min="5090" max="5090" width="6.140625" style="51" customWidth="1"/>
    <col min="5091" max="5091" width="10.28515625" style="51" customWidth="1"/>
    <col min="5092" max="5092" width="34.140625" style="51" customWidth="1"/>
    <col min="5093" max="5093" width="9.28515625" style="51" customWidth="1"/>
    <col min="5094" max="5095" width="12.140625" style="51" customWidth="1"/>
    <col min="5096" max="5106" width="9.85546875" style="51" customWidth="1"/>
    <col min="5107" max="5107" width="11.5703125" style="51" customWidth="1"/>
    <col min="5108" max="5108" width="12.7109375" style="51" customWidth="1"/>
    <col min="5109" max="5109" width="9.140625" style="51"/>
    <col min="5110" max="5110" width="11.42578125" style="51" customWidth="1"/>
    <col min="5111" max="5344" width="9.140625" style="51"/>
    <col min="5345" max="5345" width="3.140625" style="51" customWidth="1"/>
    <col min="5346" max="5346" width="6.140625" style="51" customWidth="1"/>
    <col min="5347" max="5347" width="10.28515625" style="51" customWidth="1"/>
    <col min="5348" max="5348" width="34.140625" style="51" customWidth="1"/>
    <col min="5349" max="5349" width="9.28515625" style="51" customWidth="1"/>
    <col min="5350" max="5351" width="12.140625" style="51" customWidth="1"/>
    <col min="5352" max="5362" width="9.85546875" style="51" customWidth="1"/>
    <col min="5363" max="5363" width="11.5703125" style="51" customWidth="1"/>
    <col min="5364" max="5364" width="12.7109375" style="51" customWidth="1"/>
    <col min="5365" max="5365" width="9.140625" style="51"/>
    <col min="5366" max="5366" width="11.42578125" style="51" customWidth="1"/>
    <col min="5367" max="5600" width="9.140625" style="51"/>
    <col min="5601" max="5601" width="3.140625" style="51" customWidth="1"/>
    <col min="5602" max="5602" width="6.140625" style="51" customWidth="1"/>
    <col min="5603" max="5603" width="10.28515625" style="51" customWidth="1"/>
    <col min="5604" max="5604" width="34.140625" style="51" customWidth="1"/>
    <col min="5605" max="5605" width="9.28515625" style="51" customWidth="1"/>
    <col min="5606" max="5607" width="12.140625" style="51" customWidth="1"/>
    <col min="5608" max="5618" width="9.85546875" style="51" customWidth="1"/>
    <col min="5619" max="5619" width="11.5703125" style="51" customWidth="1"/>
    <col min="5620" max="5620" width="12.7109375" style="51" customWidth="1"/>
    <col min="5621" max="5621" width="9.140625" style="51"/>
    <col min="5622" max="5622" width="11.42578125" style="51" customWidth="1"/>
    <col min="5623" max="5856" width="9.140625" style="51"/>
    <col min="5857" max="5857" width="3.140625" style="51" customWidth="1"/>
    <col min="5858" max="5858" width="6.140625" style="51" customWidth="1"/>
    <col min="5859" max="5859" width="10.28515625" style="51" customWidth="1"/>
    <col min="5860" max="5860" width="34.140625" style="51" customWidth="1"/>
    <col min="5861" max="5861" width="9.28515625" style="51" customWidth="1"/>
    <col min="5862" max="5863" width="12.140625" style="51" customWidth="1"/>
    <col min="5864" max="5874" width="9.85546875" style="51" customWidth="1"/>
    <col min="5875" max="5875" width="11.5703125" style="51" customWidth="1"/>
    <col min="5876" max="5876" width="12.7109375" style="51" customWidth="1"/>
    <col min="5877" max="5877" width="9.140625" style="51"/>
    <col min="5878" max="5878" width="11.42578125" style="51" customWidth="1"/>
    <col min="5879" max="6112" width="9.140625" style="51"/>
    <col min="6113" max="6113" width="3.140625" style="51" customWidth="1"/>
    <col min="6114" max="6114" width="6.140625" style="51" customWidth="1"/>
    <col min="6115" max="6115" width="10.28515625" style="51" customWidth="1"/>
    <col min="6116" max="6116" width="34.140625" style="51" customWidth="1"/>
    <col min="6117" max="6117" width="9.28515625" style="51" customWidth="1"/>
    <col min="6118" max="6119" width="12.140625" style="51" customWidth="1"/>
    <col min="6120" max="6130" width="9.85546875" style="51" customWidth="1"/>
    <col min="6131" max="6131" width="11.5703125" style="51" customWidth="1"/>
    <col min="6132" max="6132" width="12.7109375" style="51" customWidth="1"/>
    <col min="6133" max="6133" width="9.140625" style="51"/>
    <col min="6134" max="6134" width="11.42578125" style="51" customWidth="1"/>
    <col min="6135" max="6368" width="9.140625" style="51"/>
    <col min="6369" max="6369" width="3.140625" style="51" customWidth="1"/>
    <col min="6370" max="6370" width="6.140625" style="51" customWidth="1"/>
    <col min="6371" max="6371" width="10.28515625" style="51" customWidth="1"/>
    <col min="6372" max="6372" width="34.140625" style="51" customWidth="1"/>
    <col min="6373" max="6373" width="9.28515625" style="51" customWidth="1"/>
    <col min="6374" max="6375" width="12.140625" style="51" customWidth="1"/>
    <col min="6376" max="6386" width="9.85546875" style="51" customWidth="1"/>
    <col min="6387" max="6387" width="11.5703125" style="51" customWidth="1"/>
    <col min="6388" max="6388" width="12.7109375" style="51" customWidth="1"/>
    <col min="6389" max="6389" width="9.140625" style="51"/>
    <col min="6390" max="6390" width="11.42578125" style="51" customWidth="1"/>
    <col min="6391" max="6624" width="9.140625" style="51"/>
    <col min="6625" max="6625" width="3.140625" style="51" customWidth="1"/>
    <col min="6626" max="6626" width="6.140625" style="51" customWidth="1"/>
    <col min="6627" max="6627" width="10.28515625" style="51" customWidth="1"/>
    <col min="6628" max="6628" width="34.140625" style="51" customWidth="1"/>
    <col min="6629" max="6629" width="9.28515625" style="51" customWidth="1"/>
    <col min="6630" max="6631" width="12.140625" style="51" customWidth="1"/>
    <col min="6632" max="6642" width="9.85546875" style="51" customWidth="1"/>
    <col min="6643" max="6643" width="11.5703125" style="51" customWidth="1"/>
    <col min="6644" max="6644" width="12.7109375" style="51" customWidth="1"/>
    <col min="6645" max="6645" width="9.140625" style="51"/>
    <col min="6646" max="6646" width="11.42578125" style="51" customWidth="1"/>
    <col min="6647" max="6880" width="9.140625" style="51"/>
    <col min="6881" max="6881" width="3.140625" style="51" customWidth="1"/>
    <col min="6882" max="6882" width="6.140625" style="51" customWidth="1"/>
    <col min="6883" max="6883" width="10.28515625" style="51" customWidth="1"/>
    <col min="6884" max="6884" width="34.140625" style="51" customWidth="1"/>
    <col min="6885" max="6885" width="9.28515625" style="51" customWidth="1"/>
    <col min="6886" max="6887" width="12.140625" style="51" customWidth="1"/>
    <col min="6888" max="6898" width="9.85546875" style="51" customWidth="1"/>
    <col min="6899" max="6899" width="11.5703125" style="51" customWidth="1"/>
    <col min="6900" max="6900" width="12.7109375" style="51" customWidth="1"/>
    <col min="6901" max="6901" width="9.140625" style="51"/>
    <col min="6902" max="6902" width="11.42578125" style="51" customWidth="1"/>
    <col min="6903" max="7136" width="9.140625" style="51"/>
    <col min="7137" max="7137" width="3.140625" style="51" customWidth="1"/>
    <col min="7138" max="7138" width="6.140625" style="51" customWidth="1"/>
    <col min="7139" max="7139" width="10.28515625" style="51" customWidth="1"/>
    <col min="7140" max="7140" width="34.140625" style="51" customWidth="1"/>
    <col min="7141" max="7141" width="9.28515625" style="51" customWidth="1"/>
    <col min="7142" max="7143" width="12.140625" style="51" customWidth="1"/>
    <col min="7144" max="7154" width="9.85546875" style="51" customWidth="1"/>
    <col min="7155" max="7155" width="11.5703125" style="51" customWidth="1"/>
    <col min="7156" max="7156" width="12.7109375" style="51" customWidth="1"/>
    <col min="7157" max="7157" width="9.140625" style="51"/>
    <col min="7158" max="7158" width="11.42578125" style="51" customWidth="1"/>
    <col min="7159" max="7392" width="9.140625" style="51"/>
    <col min="7393" max="7393" width="3.140625" style="51" customWidth="1"/>
    <col min="7394" max="7394" width="6.140625" style="51" customWidth="1"/>
    <col min="7395" max="7395" width="10.28515625" style="51" customWidth="1"/>
    <col min="7396" max="7396" width="34.140625" style="51" customWidth="1"/>
    <col min="7397" max="7397" width="9.28515625" style="51" customWidth="1"/>
    <col min="7398" max="7399" width="12.140625" style="51" customWidth="1"/>
    <col min="7400" max="7410" width="9.85546875" style="51" customWidth="1"/>
    <col min="7411" max="7411" width="11.5703125" style="51" customWidth="1"/>
    <col min="7412" max="7412" width="12.7109375" style="51" customWidth="1"/>
    <col min="7413" max="7413" width="9.140625" style="51"/>
    <col min="7414" max="7414" width="11.42578125" style="51" customWidth="1"/>
    <col min="7415" max="7648" width="9.140625" style="51"/>
    <col min="7649" max="7649" width="3.140625" style="51" customWidth="1"/>
    <col min="7650" max="7650" width="6.140625" style="51" customWidth="1"/>
    <col min="7651" max="7651" width="10.28515625" style="51" customWidth="1"/>
    <col min="7652" max="7652" width="34.140625" style="51" customWidth="1"/>
    <col min="7653" max="7653" width="9.28515625" style="51" customWidth="1"/>
    <col min="7654" max="7655" width="12.140625" style="51" customWidth="1"/>
    <col min="7656" max="7666" width="9.85546875" style="51" customWidth="1"/>
    <col min="7667" max="7667" width="11.5703125" style="51" customWidth="1"/>
    <col min="7668" max="7668" width="12.7109375" style="51" customWidth="1"/>
    <col min="7669" max="7669" width="9.140625" style="51"/>
    <col min="7670" max="7670" width="11.42578125" style="51" customWidth="1"/>
    <col min="7671" max="7904" width="9.140625" style="51"/>
    <col min="7905" max="7905" width="3.140625" style="51" customWidth="1"/>
    <col min="7906" max="7906" width="6.140625" style="51" customWidth="1"/>
    <col min="7907" max="7907" width="10.28515625" style="51" customWidth="1"/>
    <col min="7908" max="7908" width="34.140625" style="51" customWidth="1"/>
    <col min="7909" max="7909" width="9.28515625" style="51" customWidth="1"/>
    <col min="7910" max="7911" width="12.140625" style="51" customWidth="1"/>
    <col min="7912" max="7922" width="9.85546875" style="51" customWidth="1"/>
    <col min="7923" max="7923" width="11.5703125" style="51" customWidth="1"/>
    <col min="7924" max="7924" width="12.7109375" style="51" customWidth="1"/>
    <col min="7925" max="7925" width="9.140625" style="51"/>
    <col min="7926" max="7926" width="11.42578125" style="51" customWidth="1"/>
    <col min="7927" max="8160" width="9.140625" style="51"/>
    <col min="8161" max="8161" width="3.140625" style="51" customWidth="1"/>
    <col min="8162" max="8162" width="6.140625" style="51" customWidth="1"/>
    <col min="8163" max="8163" width="10.28515625" style="51" customWidth="1"/>
    <col min="8164" max="8164" width="34.140625" style="51" customWidth="1"/>
    <col min="8165" max="8165" width="9.28515625" style="51" customWidth="1"/>
    <col min="8166" max="8167" width="12.140625" style="51" customWidth="1"/>
    <col min="8168" max="8178" width="9.85546875" style="51" customWidth="1"/>
    <col min="8179" max="8179" width="11.5703125" style="51" customWidth="1"/>
    <col min="8180" max="8180" width="12.7109375" style="51" customWidth="1"/>
    <col min="8181" max="8181" width="9.140625" style="51"/>
    <col min="8182" max="8182" width="11.42578125" style="51" customWidth="1"/>
    <col min="8183" max="8416" width="9.140625" style="51"/>
    <col min="8417" max="8417" width="3.140625" style="51" customWidth="1"/>
    <col min="8418" max="8418" width="6.140625" style="51" customWidth="1"/>
    <col min="8419" max="8419" width="10.28515625" style="51" customWidth="1"/>
    <col min="8420" max="8420" width="34.140625" style="51" customWidth="1"/>
    <col min="8421" max="8421" width="9.28515625" style="51" customWidth="1"/>
    <col min="8422" max="8423" width="12.140625" style="51" customWidth="1"/>
    <col min="8424" max="8434" width="9.85546875" style="51" customWidth="1"/>
    <col min="8435" max="8435" width="11.5703125" style="51" customWidth="1"/>
    <col min="8436" max="8436" width="12.7109375" style="51" customWidth="1"/>
    <col min="8437" max="8437" width="9.140625" style="51"/>
    <col min="8438" max="8438" width="11.42578125" style="51" customWidth="1"/>
    <col min="8439" max="8672" width="9.140625" style="51"/>
    <col min="8673" max="8673" width="3.140625" style="51" customWidth="1"/>
    <col min="8674" max="8674" width="6.140625" style="51" customWidth="1"/>
    <col min="8675" max="8675" width="10.28515625" style="51" customWidth="1"/>
    <col min="8676" max="8676" width="34.140625" style="51" customWidth="1"/>
    <col min="8677" max="8677" width="9.28515625" style="51" customWidth="1"/>
    <col min="8678" max="8679" width="12.140625" style="51" customWidth="1"/>
    <col min="8680" max="8690" width="9.85546875" style="51" customWidth="1"/>
    <col min="8691" max="8691" width="11.5703125" style="51" customWidth="1"/>
    <col min="8692" max="8692" width="12.7109375" style="51" customWidth="1"/>
    <col min="8693" max="8693" width="9.140625" style="51"/>
    <col min="8694" max="8694" width="11.42578125" style="51" customWidth="1"/>
    <col min="8695" max="8928" width="9.140625" style="51"/>
    <col min="8929" max="8929" width="3.140625" style="51" customWidth="1"/>
    <col min="8930" max="8930" width="6.140625" style="51" customWidth="1"/>
    <col min="8931" max="8931" width="10.28515625" style="51" customWidth="1"/>
    <col min="8932" max="8932" width="34.140625" style="51" customWidth="1"/>
    <col min="8933" max="8933" width="9.28515625" style="51" customWidth="1"/>
    <col min="8934" max="8935" width="12.140625" style="51" customWidth="1"/>
    <col min="8936" max="8946" width="9.85546875" style="51" customWidth="1"/>
    <col min="8947" max="8947" width="11.5703125" style="51" customWidth="1"/>
    <col min="8948" max="8948" width="12.7109375" style="51" customWidth="1"/>
    <col min="8949" max="8949" width="9.140625" style="51"/>
    <col min="8950" max="8950" width="11.42578125" style="51" customWidth="1"/>
    <col min="8951" max="9184" width="9.140625" style="51"/>
    <col min="9185" max="9185" width="3.140625" style="51" customWidth="1"/>
    <col min="9186" max="9186" width="6.140625" style="51" customWidth="1"/>
    <col min="9187" max="9187" width="10.28515625" style="51" customWidth="1"/>
    <col min="9188" max="9188" width="34.140625" style="51" customWidth="1"/>
    <col min="9189" max="9189" width="9.28515625" style="51" customWidth="1"/>
    <col min="9190" max="9191" width="12.140625" style="51" customWidth="1"/>
    <col min="9192" max="9202" width="9.85546875" style="51" customWidth="1"/>
    <col min="9203" max="9203" width="11.5703125" style="51" customWidth="1"/>
    <col min="9204" max="9204" width="12.7109375" style="51" customWidth="1"/>
    <col min="9205" max="9205" width="9.140625" style="51"/>
    <col min="9206" max="9206" width="11.42578125" style="51" customWidth="1"/>
    <col min="9207" max="9440" width="9.140625" style="51"/>
    <col min="9441" max="9441" width="3.140625" style="51" customWidth="1"/>
    <col min="9442" max="9442" width="6.140625" style="51" customWidth="1"/>
    <col min="9443" max="9443" width="10.28515625" style="51" customWidth="1"/>
    <col min="9444" max="9444" width="34.140625" style="51" customWidth="1"/>
    <col min="9445" max="9445" width="9.28515625" style="51" customWidth="1"/>
    <col min="9446" max="9447" width="12.140625" style="51" customWidth="1"/>
    <col min="9448" max="9458" width="9.85546875" style="51" customWidth="1"/>
    <col min="9459" max="9459" width="11.5703125" style="51" customWidth="1"/>
    <col min="9460" max="9460" width="12.7109375" style="51" customWidth="1"/>
    <col min="9461" max="9461" width="9.140625" style="51"/>
    <col min="9462" max="9462" width="11.42578125" style="51" customWidth="1"/>
    <col min="9463" max="9696" width="9.140625" style="51"/>
    <col min="9697" max="9697" width="3.140625" style="51" customWidth="1"/>
    <col min="9698" max="9698" width="6.140625" style="51" customWidth="1"/>
    <col min="9699" max="9699" width="10.28515625" style="51" customWidth="1"/>
    <col min="9700" max="9700" width="34.140625" style="51" customWidth="1"/>
    <col min="9701" max="9701" width="9.28515625" style="51" customWidth="1"/>
    <col min="9702" max="9703" width="12.140625" style="51" customWidth="1"/>
    <col min="9704" max="9714" width="9.85546875" style="51" customWidth="1"/>
    <col min="9715" max="9715" width="11.5703125" style="51" customWidth="1"/>
    <col min="9716" max="9716" width="12.7109375" style="51" customWidth="1"/>
    <col min="9717" max="9717" width="9.140625" style="51"/>
    <col min="9718" max="9718" width="11.42578125" style="51" customWidth="1"/>
    <col min="9719" max="9952" width="9.140625" style="51"/>
    <col min="9953" max="9953" width="3.140625" style="51" customWidth="1"/>
    <col min="9954" max="9954" width="6.140625" style="51" customWidth="1"/>
    <col min="9955" max="9955" width="10.28515625" style="51" customWidth="1"/>
    <col min="9956" max="9956" width="34.140625" style="51" customWidth="1"/>
    <col min="9957" max="9957" width="9.28515625" style="51" customWidth="1"/>
    <col min="9958" max="9959" width="12.140625" style="51" customWidth="1"/>
    <col min="9960" max="9970" width="9.85546875" style="51" customWidth="1"/>
    <col min="9971" max="9971" width="11.5703125" style="51" customWidth="1"/>
    <col min="9972" max="9972" width="12.7109375" style="51" customWidth="1"/>
    <col min="9973" max="9973" width="9.140625" style="51"/>
    <col min="9974" max="9974" width="11.42578125" style="51" customWidth="1"/>
    <col min="9975" max="10208" width="9.140625" style="51"/>
    <col min="10209" max="10209" width="3.140625" style="51" customWidth="1"/>
    <col min="10210" max="10210" width="6.140625" style="51" customWidth="1"/>
    <col min="10211" max="10211" width="10.28515625" style="51" customWidth="1"/>
    <col min="10212" max="10212" width="34.140625" style="51" customWidth="1"/>
    <col min="10213" max="10213" width="9.28515625" style="51" customWidth="1"/>
    <col min="10214" max="10215" width="12.140625" style="51" customWidth="1"/>
    <col min="10216" max="10226" width="9.85546875" style="51" customWidth="1"/>
    <col min="10227" max="10227" width="11.5703125" style="51" customWidth="1"/>
    <col min="10228" max="10228" width="12.7109375" style="51" customWidth="1"/>
    <col min="10229" max="10229" width="9.140625" style="51"/>
    <col min="10230" max="10230" width="11.42578125" style="51" customWidth="1"/>
    <col min="10231" max="10464" width="9.140625" style="51"/>
    <col min="10465" max="10465" width="3.140625" style="51" customWidth="1"/>
    <col min="10466" max="10466" width="6.140625" style="51" customWidth="1"/>
    <col min="10467" max="10467" width="10.28515625" style="51" customWidth="1"/>
    <col min="10468" max="10468" width="34.140625" style="51" customWidth="1"/>
    <col min="10469" max="10469" width="9.28515625" style="51" customWidth="1"/>
    <col min="10470" max="10471" width="12.140625" style="51" customWidth="1"/>
    <col min="10472" max="10482" width="9.85546875" style="51" customWidth="1"/>
    <col min="10483" max="10483" width="11.5703125" style="51" customWidth="1"/>
    <col min="10484" max="10484" width="12.7109375" style="51" customWidth="1"/>
    <col min="10485" max="10485" width="9.140625" style="51"/>
    <col min="10486" max="10486" width="11.42578125" style="51" customWidth="1"/>
    <col min="10487" max="10720" width="9.140625" style="51"/>
    <col min="10721" max="10721" width="3.140625" style="51" customWidth="1"/>
    <col min="10722" max="10722" width="6.140625" style="51" customWidth="1"/>
    <col min="10723" max="10723" width="10.28515625" style="51" customWidth="1"/>
    <col min="10724" max="10724" width="34.140625" style="51" customWidth="1"/>
    <col min="10725" max="10725" width="9.28515625" style="51" customWidth="1"/>
    <col min="10726" max="10727" width="12.140625" style="51" customWidth="1"/>
    <col min="10728" max="10738" width="9.85546875" style="51" customWidth="1"/>
    <col min="10739" max="10739" width="11.5703125" style="51" customWidth="1"/>
    <col min="10740" max="10740" width="12.7109375" style="51" customWidth="1"/>
    <col min="10741" max="10741" width="9.140625" style="51"/>
    <col min="10742" max="10742" width="11.42578125" style="51" customWidth="1"/>
    <col min="10743" max="10976" width="9.140625" style="51"/>
    <col min="10977" max="10977" width="3.140625" style="51" customWidth="1"/>
    <col min="10978" max="10978" width="6.140625" style="51" customWidth="1"/>
    <col min="10979" max="10979" width="10.28515625" style="51" customWidth="1"/>
    <col min="10980" max="10980" width="34.140625" style="51" customWidth="1"/>
    <col min="10981" max="10981" width="9.28515625" style="51" customWidth="1"/>
    <col min="10982" max="10983" width="12.140625" style="51" customWidth="1"/>
    <col min="10984" max="10994" width="9.85546875" style="51" customWidth="1"/>
    <col min="10995" max="10995" width="11.5703125" style="51" customWidth="1"/>
    <col min="10996" max="10996" width="12.7109375" style="51" customWidth="1"/>
    <col min="10997" max="10997" width="9.140625" style="51"/>
    <col min="10998" max="10998" width="11.42578125" style="51" customWidth="1"/>
    <col min="10999" max="11232" width="9.140625" style="51"/>
    <col min="11233" max="11233" width="3.140625" style="51" customWidth="1"/>
    <col min="11234" max="11234" width="6.140625" style="51" customWidth="1"/>
    <col min="11235" max="11235" width="10.28515625" style="51" customWidth="1"/>
    <col min="11236" max="11236" width="34.140625" style="51" customWidth="1"/>
    <col min="11237" max="11237" width="9.28515625" style="51" customWidth="1"/>
    <col min="11238" max="11239" width="12.140625" style="51" customWidth="1"/>
    <col min="11240" max="11250" width="9.85546875" style="51" customWidth="1"/>
    <col min="11251" max="11251" width="11.5703125" style="51" customWidth="1"/>
    <col min="11252" max="11252" width="12.7109375" style="51" customWidth="1"/>
    <col min="11253" max="11253" width="9.140625" style="51"/>
    <col min="11254" max="11254" width="11.42578125" style="51" customWidth="1"/>
    <col min="11255" max="11488" width="9.140625" style="51"/>
    <col min="11489" max="11489" width="3.140625" style="51" customWidth="1"/>
    <col min="11490" max="11490" width="6.140625" style="51" customWidth="1"/>
    <col min="11491" max="11491" width="10.28515625" style="51" customWidth="1"/>
    <col min="11492" max="11492" width="34.140625" style="51" customWidth="1"/>
    <col min="11493" max="11493" width="9.28515625" style="51" customWidth="1"/>
    <col min="11494" max="11495" width="12.140625" style="51" customWidth="1"/>
    <col min="11496" max="11506" width="9.85546875" style="51" customWidth="1"/>
    <col min="11507" max="11507" width="11.5703125" style="51" customWidth="1"/>
    <col min="11508" max="11508" width="12.7109375" style="51" customWidth="1"/>
    <col min="11509" max="11509" width="9.140625" style="51"/>
    <col min="11510" max="11510" width="11.42578125" style="51" customWidth="1"/>
    <col min="11511" max="11744" width="9.140625" style="51"/>
    <col min="11745" max="11745" width="3.140625" style="51" customWidth="1"/>
    <col min="11746" max="11746" width="6.140625" style="51" customWidth="1"/>
    <col min="11747" max="11747" width="10.28515625" style="51" customWidth="1"/>
    <col min="11748" max="11748" width="34.140625" style="51" customWidth="1"/>
    <col min="11749" max="11749" width="9.28515625" style="51" customWidth="1"/>
    <col min="11750" max="11751" width="12.140625" style="51" customWidth="1"/>
    <col min="11752" max="11762" width="9.85546875" style="51" customWidth="1"/>
    <col min="11763" max="11763" width="11.5703125" style="51" customWidth="1"/>
    <col min="11764" max="11764" width="12.7109375" style="51" customWidth="1"/>
    <col min="11765" max="11765" width="9.140625" style="51"/>
    <col min="11766" max="11766" width="11.42578125" style="51" customWidth="1"/>
    <col min="11767" max="12000" width="9.140625" style="51"/>
    <col min="12001" max="12001" width="3.140625" style="51" customWidth="1"/>
    <col min="12002" max="12002" width="6.140625" style="51" customWidth="1"/>
    <col min="12003" max="12003" width="10.28515625" style="51" customWidth="1"/>
    <col min="12004" max="12004" width="34.140625" style="51" customWidth="1"/>
    <col min="12005" max="12005" width="9.28515625" style="51" customWidth="1"/>
    <col min="12006" max="12007" width="12.140625" style="51" customWidth="1"/>
    <col min="12008" max="12018" width="9.85546875" style="51" customWidth="1"/>
    <col min="12019" max="12019" width="11.5703125" style="51" customWidth="1"/>
    <col min="12020" max="12020" width="12.7109375" style="51" customWidth="1"/>
    <col min="12021" max="12021" width="9.140625" style="51"/>
    <col min="12022" max="12022" width="11.42578125" style="51" customWidth="1"/>
    <col min="12023" max="12256" width="9.140625" style="51"/>
    <col min="12257" max="12257" width="3.140625" style="51" customWidth="1"/>
    <col min="12258" max="12258" width="6.140625" style="51" customWidth="1"/>
    <col min="12259" max="12259" width="10.28515625" style="51" customWidth="1"/>
    <col min="12260" max="12260" width="34.140625" style="51" customWidth="1"/>
    <col min="12261" max="12261" width="9.28515625" style="51" customWidth="1"/>
    <col min="12262" max="12263" width="12.140625" style="51" customWidth="1"/>
    <col min="12264" max="12274" width="9.85546875" style="51" customWidth="1"/>
    <col min="12275" max="12275" width="11.5703125" style="51" customWidth="1"/>
    <col min="12276" max="12276" width="12.7109375" style="51" customWidth="1"/>
    <col min="12277" max="12277" width="9.140625" style="51"/>
    <col min="12278" max="12278" width="11.42578125" style="51" customWidth="1"/>
    <col min="12279" max="12512" width="9.140625" style="51"/>
    <col min="12513" max="12513" width="3.140625" style="51" customWidth="1"/>
    <col min="12514" max="12514" width="6.140625" style="51" customWidth="1"/>
    <col min="12515" max="12515" width="10.28515625" style="51" customWidth="1"/>
    <col min="12516" max="12516" width="34.140625" style="51" customWidth="1"/>
    <col min="12517" max="12517" width="9.28515625" style="51" customWidth="1"/>
    <col min="12518" max="12519" width="12.140625" style="51" customWidth="1"/>
    <col min="12520" max="12530" width="9.85546875" style="51" customWidth="1"/>
    <col min="12531" max="12531" width="11.5703125" style="51" customWidth="1"/>
    <col min="12532" max="12532" width="12.7109375" style="51" customWidth="1"/>
    <col min="12533" max="12533" width="9.140625" style="51"/>
    <col min="12534" max="12534" width="11.42578125" style="51" customWidth="1"/>
    <col min="12535" max="12768" width="9.140625" style="51"/>
    <col min="12769" max="12769" width="3.140625" style="51" customWidth="1"/>
    <col min="12770" max="12770" width="6.140625" style="51" customWidth="1"/>
    <col min="12771" max="12771" width="10.28515625" style="51" customWidth="1"/>
    <col min="12772" max="12772" width="34.140625" style="51" customWidth="1"/>
    <col min="12773" max="12773" width="9.28515625" style="51" customWidth="1"/>
    <col min="12774" max="12775" width="12.140625" style="51" customWidth="1"/>
    <col min="12776" max="12786" width="9.85546875" style="51" customWidth="1"/>
    <col min="12787" max="12787" width="11.5703125" style="51" customWidth="1"/>
    <col min="12788" max="12788" width="12.7109375" style="51" customWidth="1"/>
    <col min="12789" max="12789" width="9.140625" style="51"/>
    <col min="12790" max="12790" width="11.42578125" style="51" customWidth="1"/>
    <col min="12791" max="13024" width="9.140625" style="51"/>
    <col min="13025" max="13025" width="3.140625" style="51" customWidth="1"/>
    <col min="13026" max="13026" width="6.140625" style="51" customWidth="1"/>
    <col min="13027" max="13027" width="10.28515625" style="51" customWidth="1"/>
    <col min="13028" max="13028" width="34.140625" style="51" customWidth="1"/>
    <col min="13029" max="13029" width="9.28515625" style="51" customWidth="1"/>
    <col min="13030" max="13031" width="12.140625" style="51" customWidth="1"/>
    <col min="13032" max="13042" width="9.85546875" style="51" customWidth="1"/>
    <col min="13043" max="13043" width="11.5703125" style="51" customWidth="1"/>
    <col min="13044" max="13044" width="12.7109375" style="51" customWidth="1"/>
    <col min="13045" max="13045" width="9.140625" style="51"/>
    <col min="13046" max="13046" width="11.42578125" style="51" customWidth="1"/>
    <col min="13047" max="13280" width="9.140625" style="51"/>
    <col min="13281" max="13281" width="3.140625" style="51" customWidth="1"/>
    <col min="13282" max="13282" width="6.140625" style="51" customWidth="1"/>
    <col min="13283" max="13283" width="10.28515625" style="51" customWidth="1"/>
    <col min="13284" max="13284" width="34.140625" style="51" customWidth="1"/>
    <col min="13285" max="13285" width="9.28515625" style="51" customWidth="1"/>
    <col min="13286" max="13287" width="12.140625" style="51" customWidth="1"/>
    <col min="13288" max="13298" width="9.85546875" style="51" customWidth="1"/>
    <col min="13299" max="13299" width="11.5703125" style="51" customWidth="1"/>
    <col min="13300" max="13300" width="12.7109375" style="51" customWidth="1"/>
    <col min="13301" max="13301" width="9.140625" style="51"/>
    <col min="13302" max="13302" width="11.42578125" style="51" customWidth="1"/>
    <col min="13303" max="13536" width="9.140625" style="51"/>
    <col min="13537" max="13537" width="3.140625" style="51" customWidth="1"/>
    <col min="13538" max="13538" width="6.140625" style="51" customWidth="1"/>
    <col min="13539" max="13539" width="10.28515625" style="51" customWidth="1"/>
    <col min="13540" max="13540" width="34.140625" style="51" customWidth="1"/>
    <col min="13541" max="13541" width="9.28515625" style="51" customWidth="1"/>
    <col min="13542" max="13543" width="12.140625" style="51" customWidth="1"/>
    <col min="13544" max="13554" width="9.85546875" style="51" customWidth="1"/>
    <col min="13555" max="13555" width="11.5703125" style="51" customWidth="1"/>
    <col min="13556" max="13556" width="12.7109375" style="51" customWidth="1"/>
    <col min="13557" max="13557" width="9.140625" style="51"/>
    <col min="13558" max="13558" width="11.42578125" style="51" customWidth="1"/>
    <col min="13559" max="13792" width="9.140625" style="51"/>
    <col min="13793" max="13793" width="3.140625" style="51" customWidth="1"/>
    <col min="13794" max="13794" width="6.140625" style="51" customWidth="1"/>
    <col min="13795" max="13795" width="10.28515625" style="51" customWidth="1"/>
    <col min="13796" max="13796" width="34.140625" style="51" customWidth="1"/>
    <col min="13797" max="13797" width="9.28515625" style="51" customWidth="1"/>
    <col min="13798" max="13799" width="12.140625" style="51" customWidth="1"/>
    <col min="13800" max="13810" width="9.85546875" style="51" customWidth="1"/>
    <col min="13811" max="13811" width="11.5703125" style="51" customWidth="1"/>
    <col min="13812" max="13812" width="12.7109375" style="51" customWidth="1"/>
    <col min="13813" max="13813" width="9.140625" style="51"/>
    <col min="13814" max="13814" width="11.42578125" style="51" customWidth="1"/>
    <col min="13815" max="14048" width="9.140625" style="51"/>
    <col min="14049" max="14049" width="3.140625" style="51" customWidth="1"/>
    <col min="14050" max="14050" width="6.140625" style="51" customWidth="1"/>
    <col min="14051" max="14051" width="10.28515625" style="51" customWidth="1"/>
    <col min="14052" max="14052" width="34.140625" style="51" customWidth="1"/>
    <col min="14053" max="14053" width="9.28515625" style="51" customWidth="1"/>
    <col min="14054" max="14055" width="12.140625" style="51" customWidth="1"/>
    <col min="14056" max="14066" width="9.85546875" style="51" customWidth="1"/>
    <col min="14067" max="14067" width="11.5703125" style="51" customWidth="1"/>
    <col min="14068" max="14068" width="12.7109375" style="51" customWidth="1"/>
    <col min="14069" max="14069" width="9.140625" style="51"/>
    <col min="14070" max="14070" width="11.42578125" style="51" customWidth="1"/>
    <col min="14071" max="14304" width="9.140625" style="51"/>
    <col min="14305" max="14305" width="3.140625" style="51" customWidth="1"/>
    <col min="14306" max="14306" width="6.140625" style="51" customWidth="1"/>
    <col min="14307" max="14307" width="10.28515625" style="51" customWidth="1"/>
    <col min="14308" max="14308" width="34.140625" style="51" customWidth="1"/>
    <col min="14309" max="14309" width="9.28515625" style="51" customWidth="1"/>
    <col min="14310" max="14311" width="12.140625" style="51" customWidth="1"/>
    <col min="14312" max="14322" width="9.85546875" style="51" customWidth="1"/>
    <col min="14323" max="14323" width="11.5703125" style="51" customWidth="1"/>
    <col min="14324" max="14324" width="12.7109375" style="51" customWidth="1"/>
    <col min="14325" max="14325" width="9.140625" style="51"/>
    <col min="14326" max="14326" width="11.42578125" style="51" customWidth="1"/>
    <col min="14327" max="14560" width="9.140625" style="51"/>
    <col min="14561" max="14561" width="3.140625" style="51" customWidth="1"/>
    <col min="14562" max="14562" width="6.140625" style="51" customWidth="1"/>
    <col min="14563" max="14563" width="10.28515625" style="51" customWidth="1"/>
    <col min="14564" max="14564" width="34.140625" style="51" customWidth="1"/>
    <col min="14565" max="14565" width="9.28515625" style="51" customWidth="1"/>
    <col min="14566" max="14567" width="12.140625" style="51" customWidth="1"/>
    <col min="14568" max="14578" width="9.85546875" style="51" customWidth="1"/>
    <col min="14579" max="14579" width="11.5703125" style="51" customWidth="1"/>
    <col min="14580" max="14580" width="12.7109375" style="51" customWidth="1"/>
    <col min="14581" max="14581" width="9.140625" style="51"/>
    <col min="14582" max="14582" width="11.42578125" style="51" customWidth="1"/>
    <col min="14583" max="14816" width="9.140625" style="51"/>
    <col min="14817" max="14817" width="3.140625" style="51" customWidth="1"/>
    <col min="14818" max="14818" width="6.140625" style="51" customWidth="1"/>
    <col min="14819" max="14819" width="10.28515625" style="51" customWidth="1"/>
    <col min="14820" max="14820" width="34.140625" style="51" customWidth="1"/>
    <col min="14821" max="14821" width="9.28515625" style="51" customWidth="1"/>
    <col min="14822" max="14823" width="12.140625" style="51" customWidth="1"/>
    <col min="14824" max="14834" width="9.85546875" style="51" customWidth="1"/>
    <col min="14835" max="14835" width="11.5703125" style="51" customWidth="1"/>
    <col min="14836" max="14836" width="12.7109375" style="51" customWidth="1"/>
    <col min="14837" max="14837" width="9.140625" style="51"/>
    <col min="14838" max="14838" width="11.42578125" style="51" customWidth="1"/>
    <col min="14839" max="15072" width="9.140625" style="51"/>
    <col min="15073" max="15073" width="3.140625" style="51" customWidth="1"/>
    <col min="15074" max="15074" width="6.140625" style="51" customWidth="1"/>
    <col min="15075" max="15075" width="10.28515625" style="51" customWidth="1"/>
    <col min="15076" max="15076" width="34.140625" style="51" customWidth="1"/>
    <col min="15077" max="15077" width="9.28515625" style="51" customWidth="1"/>
    <col min="15078" max="15079" width="12.140625" style="51" customWidth="1"/>
    <col min="15080" max="15090" width="9.85546875" style="51" customWidth="1"/>
    <col min="15091" max="15091" width="11.5703125" style="51" customWidth="1"/>
    <col min="15092" max="15092" width="12.7109375" style="51" customWidth="1"/>
    <col min="15093" max="15093" width="9.140625" style="51"/>
    <col min="15094" max="15094" width="11.42578125" style="51" customWidth="1"/>
    <col min="15095" max="15328" width="9.140625" style="51"/>
    <col min="15329" max="15329" width="3.140625" style="51" customWidth="1"/>
    <col min="15330" max="15330" width="6.140625" style="51" customWidth="1"/>
    <col min="15331" max="15331" width="10.28515625" style="51" customWidth="1"/>
    <col min="15332" max="15332" width="34.140625" style="51" customWidth="1"/>
    <col min="15333" max="15333" width="9.28515625" style="51" customWidth="1"/>
    <col min="15334" max="15335" width="12.140625" style="51" customWidth="1"/>
    <col min="15336" max="15346" width="9.85546875" style="51" customWidth="1"/>
    <col min="15347" max="15347" width="11.5703125" style="51" customWidth="1"/>
    <col min="15348" max="15348" width="12.7109375" style="51" customWidth="1"/>
    <col min="15349" max="15349" width="9.140625" style="51"/>
    <col min="15350" max="15350" width="11.42578125" style="51" customWidth="1"/>
    <col min="15351" max="15584" width="9.140625" style="51"/>
    <col min="15585" max="15585" width="3.140625" style="51" customWidth="1"/>
    <col min="15586" max="15586" width="6.140625" style="51" customWidth="1"/>
    <col min="15587" max="15587" width="10.28515625" style="51" customWidth="1"/>
    <col min="15588" max="15588" width="34.140625" style="51" customWidth="1"/>
    <col min="15589" max="15589" width="9.28515625" style="51" customWidth="1"/>
    <col min="15590" max="15591" width="12.140625" style="51" customWidth="1"/>
    <col min="15592" max="15602" width="9.85546875" style="51" customWidth="1"/>
    <col min="15603" max="15603" width="11.5703125" style="51" customWidth="1"/>
    <col min="15604" max="15604" width="12.7109375" style="51" customWidth="1"/>
    <col min="15605" max="15605" width="9.140625" style="51"/>
    <col min="15606" max="15606" width="11.42578125" style="51" customWidth="1"/>
    <col min="15607" max="15840" width="9.140625" style="51"/>
    <col min="15841" max="15841" width="3.140625" style="51" customWidth="1"/>
    <col min="15842" max="15842" width="6.140625" style="51" customWidth="1"/>
    <col min="15843" max="15843" width="10.28515625" style="51" customWidth="1"/>
    <col min="15844" max="15844" width="34.140625" style="51" customWidth="1"/>
    <col min="15845" max="15845" width="9.28515625" style="51" customWidth="1"/>
    <col min="15846" max="15847" width="12.140625" style="51" customWidth="1"/>
    <col min="15848" max="15858" width="9.85546875" style="51" customWidth="1"/>
    <col min="15859" max="15859" width="11.5703125" style="51" customWidth="1"/>
    <col min="15860" max="15860" width="12.7109375" style="51" customWidth="1"/>
    <col min="15861" max="15861" width="9.140625" style="51"/>
    <col min="15862" max="15862" width="11.42578125" style="51" customWidth="1"/>
    <col min="15863" max="16096" width="9.140625" style="51"/>
    <col min="16097" max="16097" width="3.140625" style="51" customWidth="1"/>
    <col min="16098" max="16098" width="6.140625" style="51" customWidth="1"/>
    <col min="16099" max="16099" width="10.28515625" style="51" customWidth="1"/>
    <col min="16100" max="16100" width="34.140625" style="51" customWidth="1"/>
    <col min="16101" max="16101" width="9.28515625" style="51" customWidth="1"/>
    <col min="16102" max="16103" width="12.140625" style="51" customWidth="1"/>
    <col min="16104" max="16114" width="9.85546875" style="51" customWidth="1"/>
    <col min="16115" max="16115" width="11.5703125" style="51" customWidth="1"/>
    <col min="16116" max="16116" width="12.7109375" style="51" customWidth="1"/>
    <col min="16117" max="16117" width="9.140625" style="51"/>
    <col min="16118" max="16118" width="11.42578125" style="51" customWidth="1"/>
    <col min="16119" max="16384" width="9.140625" style="51"/>
  </cols>
  <sheetData>
    <row r="1" spans="1:6" s="161" customFormat="1" ht="35.25" customHeight="1" x14ac:dyDescent="0.25">
      <c r="A1" s="182"/>
      <c r="B1" s="359" t="s">
        <v>194</v>
      </c>
      <c r="C1" s="359"/>
      <c r="D1" s="359"/>
      <c r="E1" s="359"/>
      <c r="F1" s="359"/>
    </row>
    <row r="2" spans="1:6" s="161" customFormat="1" ht="27.75" customHeight="1" thickBot="1" x14ac:dyDescent="0.3">
      <c r="A2" s="182"/>
      <c r="B2" s="367" t="s">
        <v>225</v>
      </c>
      <c r="C2" s="367"/>
      <c r="D2" s="367"/>
      <c r="E2" s="367"/>
      <c r="F2" s="367"/>
    </row>
    <row r="3" spans="1:6" s="161" customFormat="1" ht="43.5" customHeight="1" x14ac:dyDescent="0.25">
      <c r="A3" s="182"/>
      <c r="B3" s="360" t="s">
        <v>11</v>
      </c>
      <c r="C3" s="362" t="s">
        <v>12</v>
      </c>
      <c r="D3" s="362"/>
      <c r="E3" s="362" t="s">
        <v>13</v>
      </c>
      <c r="F3" s="364" t="s">
        <v>14</v>
      </c>
    </row>
    <row r="4" spans="1:6" s="163" customFormat="1" ht="27" customHeight="1" thickBot="1" x14ac:dyDescent="0.3">
      <c r="A4" s="183"/>
      <c r="B4" s="361"/>
      <c r="C4" s="363"/>
      <c r="D4" s="363"/>
      <c r="E4" s="363"/>
      <c r="F4" s="365"/>
    </row>
    <row r="5" spans="1:6" s="163" customFormat="1" ht="22.5" customHeight="1" x14ac:dyDescent="0.25">
      <c r="A5" s="183"/>
      <c r="B5" s="184"/>
      <c r="C5" s="366" t="s">
        <v>102</v>
      </c>
      <c r="D5" s="366"/>
      <c r="E5" s="366"/>
      <c r="F5" s="366"/>
    </row>
    <row r="6" spans="1:6" s="163" customFormat="1" ht="17.25" customHeight="1" x14ac:dyDescent="0.25">
      <c r="A6" s="183"/>
      <c r="B6" s="185"/>
      <c r="C6" s="356" t="s">
        <v>195</v>
      </c>
      <c r="D6" s="356"/>
      <c r="E6" s="185"/>
      <c r="F6" s="195"/>
    </row>
    <row r="7" spans="1:6" s="163" customFormat="1" ht="17.25" customHeight="1" x14ac:dyDescent="0.25">
      <c r="A7" s="183"/>
      <c r="B7" s="191">
        <v>1</v>
      </c>
      <c r="C7" s="354" t="s">
        <v>196</v>
      </c>
      <c r="D7" s="354"/>
      <c r="E7" s="186" t="s">
        <v>7</v>
      </c>
      <c r="F7" s="52">
        <v>1021.9</v>
      </c>
    </row>
    <row r="8" spans="1:6" s="163" customFormat="1" ht="17.25" customHeight="1" x14ac:dyDescent="0.25">
      <c r="A8" s="183"/>
      <c r="B8" s="186"/>
      <c r="C8" s="355" t="s">
        <v>197</v>
      </c>
      <c r="D8" s="355"/>
      <c r="E8" s="187" t="s">
        <v>6</v>
      </c>
      <c r="F8" s="52">
        <f>F7*15</f>
        <v>15328.5</v>
      </c>
    </row>
    <row r="9" spans="1:6" s="163" customFormat="1" ht="17.25" customHeight="1" x14ac:dyDescent="0.25">
      <c r="A9" s="183"/>
      <c r="B9" s="186"/>
      <c r="C9" s="355" t="s">
        <v>198</v>
      </c>
      <c r="D9" s="355"/>
      <c r="E9" s="187" t="s">
        <v>53</v>
      </c>
      <c r="F9" s="52">
        <f>F7*0.25</f>
        <v>255.47499999999999</v>
      </c>
    </row>
    <row r="10" spans="1:6" s="163" customFormat="1" ht="17.25" customHeight="1" x14ac:dyDescent="0.25">
      <c r="A10" s="183"/>
      <c r="B10" s="191">
        <v>2</v>
      </c>
      <c r="C10" s="354" t="s">
        <v>199</v>
      </c>
      <c r="D10" s="354"/>
      <c r="E10" s="186" t="s">
        <v>7</v>
      </c>
      <c r="F10" s="52">
        <v>1021.9</v>
      </c>
    </row>
    <row r="11" spans="1:6" s="163" customFormat="1" ht="17.25" customHeight="1" x14ac:dyDescent="0.25">
      <c r="A11" s="183"/>
      <c r="B11" s="186"/>
      <c r="C11" s="352" t="s">
        <v>198</v>
      </c>
      <c r="D11" s="352"/>
      <c r="E11" s="187" t="s">
        <v>53</v>
      </c>
      <c r="F11" s="52">
        <f>F10*0.25</f>
        <v>255.47499999999999</v>
      </c>
    </row>
    <row r="12" spans="1:6" s="163" customFormat="1" ht="17.25" customHeight="1" x14ac:dyDescent="0.25">
      <c r="A12" s="183"/>
      <c r="B12" s="186"/>
      <c r="C12" s="352" t="s">
        <v>200</v>
      </c>
      <c r="D12" s="352"/>
      <c r="E12" s="186" t="s">
        <v>7</v>
      </c>
      <c r="F12" s="52">
        <f>F10*0.04</f>
        <v>40.875999999999998</v>
      </c>
    </row>
    <row r="13" spans="1:6" s="163" customFormat="1" ht="17.25" customHeight="1" x14ac:dyDescent="0.25">
      <c r="A13" s="183"/>
      <c r="B13" s="186"/>
      <c r="C13" s="352" t="s">
        <v>201</v>
      </c>
      <c r="D13" s="352"/>
      <c r="E13" s="186" t="s">
        <v>53</v>
      </c>
      <c r="F13" s="52">
        <f>F10*0.57</f>
        <v>582.48299999999995</v>
      </c>
    </row>
    <row r="14" spans="1:6" s="166" customFormat="1" ht="20.25" customHeight="1" x14ac:dyDescent="0.25">
      <c r="A14" s="188"/>
      <c r="B14" s="186"/>
      <c r="C14" s="356" t="s">
        <v>202</v>
      </c>
      <c r="D14" s="356"/>
      <c r="E14" s="186" t="s">
        <v>7</v>
      </c>
      <c r="F14" s="52">
        <v>1845.85</v>
      </c>
    </row>
    <row r="15" spans="1:6" s="166" customFormat="1" ht="27.75" customHeight="1" x14ac:dyDescent="0.25">
      <c r="A15" s="188"/>
      <c r="B15" s="191">
        <v>3</v>
      </c>
      <c r="C15" s="354" t="s">
        <v>203</v>
      </c>
      <c r="D15" s="354"/>
      <c r="E15" s="186" t="s">
        <v>7</v>
      </c>
      <c r="F15" s="52">
        <f>1348.25+63.6</f>
        <v>1411.85</v>
      </c>
    </row>
    <row r="16" spans="1:6" s="190" customFormat="1" ht="20.25" customHeight="1" x14ac:dyDescent="0.25">
      <c r="A16" s="189"/>
      <c r="B16" s="187"/>
      <c r="C16" s="355" t="s">
        <v>197</v>
      </c>
      <c r="D16" s="355"/>
      <c r="E16" s="187" t="s">
        <v>6</v>
      </c>
      <c r="F16" s="52">
        <f>F15*15</f>
        <v>21177.75</v>
      </c>
    </row>
    <row r="17" spans="1:6" s="190" customFormat="1" ht="20.25" customHeight="1" x14ac:dyDescent="0.25">
      <c r="A17" s="189"/>
      <c r="B17" s="187"/>
      <c r="C17" s="355" t="s">
        <v>198</v>
      </c>
      <c r="D17" s="355"/>
      <c r="E17" s="187" t="s">
        <v>53</v>
      </c>
      <c r="F17" s="52">
        <f>F15*0.25</f>
        <v>352.96249999999998</v>
      </c>
    </row>
    <row r="18" spans="1:6" s="190" customFormat="1" ht="20.25" customHeight="1" x14ac:dyDescent="0.25">
      <c r="A18" s="189"/>
      <c r="B18" s="187"/>
      <c r="C18" s="355" t="s">
        <v>204</v>
      </c>
      <c r="D18" s="355"/>
      <c r="E18" s="187" t="s">
        <v>8</v>
      </c>
      <c r="F18" s="196">
        <f>F15*0.3</f>
        <v>423.55499999999995</v>
      </c>
    </row>
    <row r="19" spans="1:6" s="166" customFormat="1" ht="29.25" customHeight="1" x14ac:dyDescent="0.25">
      <c r="A19" s="183"/>
      <c r="B19" s="191">
        <v>4</v>
      </c>
      <c r="C19" s="354" t="s">
        <v>205</v>
      </c>
      <c r="D19" s="354"/>
      <c r="E19" s="186" t="s">
        <v>7</v>
      </c>
      <c r="F19" s="52">
        <v>1348.25</v>
      </c>
    </row>
    <row r="20" spans="1:6" s="165" customFormat="1" ht="18.75" customHeight="1" x14ac:dyDescent="0.25">
      <c r="A20" s="192"/>
      <c r="B20" s="191"/>
      <c r="C20" s="352" t="s">
        <v>198</v>
      </c>
      <c r="D20" s="352"/>
      <c r="E20" s="186" t="s">
        <v>53</v>
      </c>
      <c r="F20" s="197">
        <f>F19*0.25</f>
        <v>337.0625</v>
      </c>
    </row>
    <row r="21" spans="1:6" s="165" customFormat="1" ht="19.5" customHeight="1" x14ac:dyDescent="0.25">
      <c r="A21" s="192"/>
      <c r="B21" s="191"/>
      <c r="C21" s="352" t="s">
        <v>206</v>
      </c>
      <c r="D21" s="352"/>
      <c r="E21" s="186" t="s">
        <v>6</v>
      </c>
      <c r="F21" s="197">
        <f>F19*2.2</f>
        <v>2966.15</v>
      </c>
    </row>
    <row r="22" spans="1:6" s="165" customFormat="1" ht="19.5" customHeight="1" x14ac:dyDescent="0.25">
      <c r="A22" s="192"/>
      <c r="B22" s="191"/>
      <c r="C22" s="352" t="s">
        <v>200</v>
      </c>
      <c r="D22" s="352"/>
      <c r="E22" s="186" t="s">
        <v>7</v>
      </c>
      <c r="F22" s="197">
        <f>F19*0.04</f>
        <v>53.93</v>
      </c>
    </row>
    <row r="23" spans="1:6" s="165" customFormat="1" ht="19.5" customHeight="1" x14ac:dyDescent="0.25">
      <c r="A23" s="192"/>
      <c r="B23" s="191"/>
      <c r="C23" s="352" t="s">
        <v>201</v>
      </c>
      <c r="D23" s="352"/>
      <c r="E23" s="186" t="s">
        <v>53</v>
      </c>
      <c r="F23" s="197">
        <f>F19*0.57</f>
        <v>768.50249999999994</v>
      </c>
    </row>
    <row r="24" spans="1:6" s="165" customFormat="1" ht="20.25" customHeight="1" x14ac:dyDescent="0.25">
      <c r="A24" s="192"/>
      <c r="B24" s="191">
        <v>5</v>
      </c>
      <c r="C24" s="354" t="s">
        <v>207</v>
      </c>
      <c r="D24" s="354"/>
      <c r="E24" s="186" t="s">
        <v>208</v>
      </c>
      <c r="F24" s="52">
        <f>15.8+97.7</f>
        <v>113.5</v>
      </c>
    </row>
    <row r="25" spans="1:6" s="166" customFormat="1" ht="21" customHeight="1" x14ac:dyDescent="0.25">
      <c r="A25" s="183"/>
      <c r="B25" s="186"/>
      <c r="C25" s="355" t="s">
        <v>197</v>
      </c>
      <c r="D25" s="355"/>
      <c r="E25" s="187" t="s">
        <v>6</v>
      </c>
      <c r="F25" s="198">
        <f>F24*6</f>
        <v>681</v>
      </c>
    </row>
    <row r="26" spans="1:6" s="165" customFormat="1" ht="18.75" customHeight="1" x14ac:dyDescent="0.25">
      <c r="A26" s="192"/>
      <c r="B26" s="186"/>
      <c r="C26" s="355" t="s">
        <v>198</v>
      </c>
      <c r="D26" s="355"/>
      <c r="E26" s="187" t="s">
        <v>53</v>
      </c>
      <c r="F26" s="198">
        <f>F24*0.06</f>
        <v>6.81</v>
      </c>
    </row>
    <row r="27" spans="1:6" s="165" customFormat="1" ht="19.5" customHeight="1" x14ac:dyDescent="0.25">
      <c r="A27" s="192"/>
      <c r="B27" s="186"/>
      <c r="C27" s="355" t="s">
        <v>209</v>
      </c>
      <c r="D27" s="355"/>
      <c r="E27" s="187" t="s">
        <v>208</v>
      </c>
      <c r="F27" s="198">
        <f>F24*1.1</f>
        <v>124.85000000000001</v>
      </c>
    </row>
    <row r="28" spans="1:6" s="165" customFormat="1" ht="36.75" customHeight="1" x14ac:dyDescent="0.25">
      <c r="A28" s="192"/>
      <c r="B28" s="191">
        <v>6</v>
      </c>
      <c r="C28" s="354" t="s">
        <v>210</v>
      </c>
      <c r="D28" s="354"/>
      <c r="E28" s="186" t="s">
        <v>208</v>
      </c>
      <c r="F28" s="52">
        <f>15.8+97.7</f>
        <v>113.5</v>
      </c>
    </row>
    <row r="29" spans="1:6" s="165" customFormat="1" ht="20.25" customHeight="1" x14ac:dyDescent="0.25">
      <c r="A29" s="192"/>
      <c r="B29" s="186"/>
      <c r="C29" s="352" t="s">
        <v>198</v>
      </c>
      <c r="D29" s="352"/>
      <c r="E29" s="186" t="s">
        <v>53</v>
      </c>
      <c r="F29" s="52">
        <f>F28*0.25</f>
        <v>28.375</v>
      </c>
    </row>
    <row r="30" spans="1:6" s="165" customFormat="1" ht="20.25" customHeight="1" x14ac:dyDescent="0.25">
      <c r="A30" s="192"/>
      <c r="B30" s="186"/>
      <c r="C30" s="352" t="s">
        <v>206</v>
      </c>
      <c r="D30" s="352"/>
      <c r="E30" s="186" t="s">
        <v>6</v>
      </c>
      <c r="F30" s="52">
        <f>F28*2.2</f>
        <v>249.70000000000002</v>
      </c>
    </row>
    <row r="31" spans="1:6" s="165" customFormat="1" ht="20.25" customHeight="1" x14ac:dyDescent="0.25">
      <c r="A31" s="192"/>
      <c r="B31" s="186"/>
      <c r="C31" s="352" t="s">
        <v>200</v>
      </c>
      <c r="D31" s="352"/>
      <c r="E31" s="186" t="s">
        <v>7</v>
      </c>
      <c r="F31" s="52">
        <f>F28*0.04</f>
        <v>4.54</v>
      </c>
    </row>
    <row r="32" spans="1:6" s="165" customFormat="1" ht="20.25" customHeight="1" x14ac:dyDescent="0.25">
      <c r="A32" s="192"/>
      <c r="B32" s="186"/>
      <c r="C32" s="352" t="s">
        <v>201</v>
      </c>
      <c r="D32" s="352"/>
      <c r="E32" s="186" t="s">
        <v>53</v>
      </c>
      <c r="F32" s="52">
        <f>F28*0.57</f>
        <v>64.694999999999993</v>
      </c>
    </row>
    <row r="33" spans="1:6" s="165" customFormat="1" ht="41.25" customHeight="1" x14ac:dyDescent="0.25">
      <c r="A33" s="192"/>
      <c r="B33" s="191">
        <v>7</v>
      </c>
      <c r="C33" s="353" t="s">
        <v>211</v>
      </c>
      <c r="D33" s="353"/>
      <c r="E33" s="186" t="s">
        <v>7</v>
      </c>
      <c r="F33" s="52">
        <v>63.6</v>
      </c>
    </row>
    <row r="34" spans="1:6" s="165" customFormat="1" ht="20.25" customHeight="1" x14ac:dyDescent="0.25">
      <c r="A34" s="192"/>
      <c r="B34" s="186"/>
      <c r="C34" s="351" t="s">
        <v>212</v>
      </c>
      <c r="D34" s="351"/>
      <c r="E34" s="193" t="s">
        <v>6</v>
      </c>
      <c r="F34" s="52">
        <f>F33*11.5</f>
        <v>731.4</v>
      </c>
    </row>
    <row r="35" spans="1:6" s="165" customFormat="1" ht="20.25" customHeight="1" x14ac:dyDescent="0.25">
      <c r="A35" s="192"/>
      <c r="B35" s="186"/>
      <c r="C35" s="351" t="s">
        <v>198</v>
      </c>
      <c r="D35" s="351"/>
      <c r="E35" s="193" t="s">
        <v>6</v>
      </c>
      <c r="F35" s="52">
        <f>F33*0.25</f>
        <v>15.9</v>
      </c>
    </row>
    <row r="36" spans="1:6" s="165" customFormat="1" ht="20.25" customHeight="1" x14ac:dyDescent="0.25">
      <c r="A36" s="192"/>
      <c r="B36" s="186"/>
      <c r="C36" s="351" t="s">
        <v>213</v>
      </c>
      <c r="D36" s="351"/>
      <c r="E36" s="193" t="s">
        <v>6</v>
      </c>
      <c r="F36" s="52">
        <f>F33*0.45</f>
        <v>28.62</v>
      </c>
    </row>
    <row r="37" spans="1:6" s="165" customFormat="1" ht="20.25" customHeight="1" x14ac:dyDescent="0.25">
      <c r="A37" s="192"/>
      <c r="B37" s="186"/>
      <c r="C37" s="351" t="s">
        <v>214</v>
      </c>
      <c r="D37" s="351"/>
      <c r="E37" s="193" t="s">
        <v>7</v>
      </c>
      <c r="F37" s="52">
        <f>F33*1.02</f>
        <v>64.872</v>
      </c>
    </row>
    <row r="38" spans="1:6" x14ac:dyDescent="0.3">
      <c r="B38" s="22"/>
      <c r="C38" s="199"/>
      <c r="D38" s="199"/>
      <c r="E38" s="22"/>
      <c r="F38" s="23"/>
    </row>
    <row r="39" spans="1:6" x14ac:dyDescent="0.3">
      <c r="B39" s="22"/>
      <c r="C39" s="357"/>
      <c r="D39" s="357"/>
      <c r="E39" s="22"/>
      <c r="F39" s="23"/>
    </row>
    <row r="40" spans="1:6" ht="21" customHeight="1" x14ac:dyDescent="0.3">
      <c r="B40" s="22"/>
      <c r="C40" s="358" t="s">
        <v>113</v>
      </c>
      <c r="D40" s="358"/>
      <c r="E40" s="358"/>
      <c r="F40" s="358"/>
    </row>
    <row r="41" spans="1:6" ht="18.75" customHeight="1" x14ac:dyDescent="0.3">
      <c r="B41" s="185"/>
      <c r="C41" s="356" t="s">
        <v>195</v>
      </c>
      <c r="D41" s="356"/>
      <c r="E41" s="185"/>
      <c r="F41" s="195"/>
    </row>
    <row r="42" spans="1:6" x14ac:dyDescent="0.3">
      <c r="B42" s="191">
        <v>1</v>
      </c>
      <c r="C42" s="354" t="s">
        <v>196</v>
      </c>
      <c r="D42" s="354"/>
      <c r="E42" s="186" t="s">
        <v>7</v>
      </c>
      <c r="F42" s="52">
        <v>0</v>
      </c>
    </row>
    <row r="43" spans="1:6" x14ac:dyDescent="0.3">
      <c r="B43" s="186"/>
      <c r="C43" s="355" t="s">
        <v>197</v>
      </c>
      <c r="D43" s="355"/>
      <c r="E43" s="187" t="s">
        <v>6</v>
      </c>
      <c r="F43" s="52">
        <f>F42*10</f>
        <v>0</v>
      </c>
    </row>
    <row r="44" spans="1:6" x14ac:dyDescent="0.3">
      <c r="B44" s="186"/>
      <c r="C44" s="355" t="s">
        <v>198</v>
      </c>
      <c r="D44" s="355"/>
      <c r="E44" s="187" t="s">
        <v>53</v>
      </c>
      <c r="F44" s="52">
        <f>F42*0.25</f>
        <v>0</v>
      </c>
    </row>
    <row r="45" spans="1:6" x14ac:dyDescent="0.3">
      <c r="B45" s="191">
        <v>2</v>
      </c>
      <c r="C45" s="354" t="s">
        <v>199</v>
      </c>
      <c r="D45" s="354"/>
      <c r="E45" s="186" t="s">
        <v>7</v>
      </c>
      <c r="F45" s="52">
        <v>0</v>
      </c>
    </row>
    <row r="46" spans="1:6" x14ac:dyDescent="0.3">
      <c r="B46" s="186"/>
      <c r="C46" s="352" t="s">
        <v>198</v>
      </c>
      <c r="D46" s="352"/>
      <c r="E46" s="187" t="s">
        <v>53</v>
      </c>
      <c r="F46" s="52">
        <f>F45*0.25</f>
        <v>0</v>
      </c>
    </row>
    <row r="47" spans="1:6" x14ac:dyDescent="0.3">
      <c r="B47" s="186"/>
      <c r="C47" s="352" t="s">
        <v>223</v>
      </c>
      <c r="D47" s="352"/>
      <c r="E47" s="187" t="s">
        <v>6</v>
      </c>
      <c r="F47" s="52">
        <f>F45*2.1</f>
        <v>0</v>
      </c>
    </row>
    <row r="48" spans="1:6" x14ac:dyDescent="0.3">
      <c r="B48" s="186"/>
      <c r="C48" s="352" t="s">
        <v>200</v>
      </c>
      <c r="D48" s="352"/>
      <c r="E48" s="186" t="s">
        <v>7</v>
      </c>
      <c r="F48" s="52">
        <f>F45*0.04</f>
        <v>0</v>
      </c>
    </row>
    <row r="49" spans="2:6" x14ac:dyDescent="0.3">
      <c r="B49" s="186"/>
      <c r="C49" s="352" t="s">
        <v>201</v>
      </c>
      <c r="D49" s="352"/>
      <c r="E49" s="186" t="s">
        <v>53</v>
      </c>
      <c r="F49" s="52">
        <f>F45*0.57</f>
        <v>0</v>
      </c>
    </row>
    <row r="50" spans="2:6" ht="18.75" customHeight="1" x14ac:dyDescent="0.3">
      <c r="B50" s="186"/>
      <c r="C50" s="356" t="s">
        <v>202</v>
      </c>
      <c r="D50" s="356"/>
      <c r="E50" s="186" t="s">
        <v>7</v>
      </c>
      <c r="F50" s="52"/>
    </row>
    <row r="51" spans="2:6" x14ac:dyDescent="0.3">
      <c r="B51" s="191">
        <v>3</v>
      </c>
      <c r="C51" s="354" t="s">
        <v>203</v>
      </c>
      <c r="D51" s="354"/>
      <c r="E51" s="186" t="s">
        <v>7</v>
      </c>
      <c r="F51" s="52">
        <f>629+28.1+1030.3+76.4</f>
        <v>1763.8000000000002</v>
      </c>
    </row>
    <row r="52" spans="2:6" x14ac:dyDescent="0.3">
      <c r="B52" s="187"/>
      <c r="C52" s="355" t="s">
        <v>197</v>
      </c>
      <c r="D52" s="355"/>
      <c r="E52" s="187" t="s">
        <v>6</v>
      </c>
      <c r="F52" s="52">
        <f>F51*20</f>
        <v>35276</v>
      </c>
    </row>
    <row r="53" spans="2:6" x14ac:dyDescent="0.3">
      <c r="B53" s="187"/>
      <c r="C53" s="355" t="s">
        <v>198</v>
      </c>
      <c r="D53" s="355"/>
      <c r="E53" s="187" t="s">
        <v>53</v>
      </c>
      <c r="F53" s="52">
        <f>F51*0.25</f>
        <v>440.95000000000005</v>
      </c>
    </row>
    <row r="54" spans="2:6" x14ac:dyDescent="0.3">
      <c r="B54" s="187"/>
      <c r="C54" s="355" t="s">
        <v>204</v>
      </c>
      <c r="D54" s="355"/>
      <c r="E54" s="187" t="s">
        <v>8</v>
      </c>
      <c r="F54" s="196">
        <f>F51*0.3</f>
        <v>529.14</v>
      </c>
    </row>
    <row r="55" spans="2:6" x14ac:dyDescent="0.3">
      <c r="B55" s="191">
        <v>4</v>
      </c>
      <c r="C55" s="354" t="s">
        <v>205</v>
      </c>
      <c r="D55" s="354"/>
      <c r="E55" s="186" t="s">
        <v>7</v>
      </c>
      <c r="F55" s="52">
        <f>629+1030.3</f>
        <v>1659.3</v>
      </c>
    </row>
    <row r="56" spans="2:6" x14ac:dyDescent="0.3">
      <c r="B56" s="191"/>
      <c r="C56" s="352" t="s">
        <v>198</v>
      </c>
      <c r="D56" s="352"/>
      <c r="E56" s="186" t="s">
        <v>53</v>
      </c>
      <c r="F56" s="197">
        <f>F55*0.25</f>
        <v>414.82499999999999</v>
      </c>
    </row>
    <row r="57" spans="2:6" x14ac:dyDescent="0.3">
      <c r="B57" s="191"/>
      <c r="C57" s="352" t="s">
        <v>206</v>
      </c>
      <c r="D57" s="352"/>
      <c r="E57" s="186" t="s">
        <v>6</v>
      </c>
      <c r="F57" s="197">
        <f>F55*2.2</f>
        <v>3650.46</v>
      </c>
    </row>
    <row r="58" spans="2:6" x14ac:dyDescent="0.3">
      <c r="B58" s="191"/>
      <c r="C58" s="352" t="s">
        <v>200</v>
      </c>
      <c r="D58" s="352"/>
      <c r="E58" s="186" t="s">
        <v>7</v>
      </c>
      <c r="F58" s="197">
        <f>F55*0.04</f>
        <v>66.372</v>
      </c>
    </row>
    <row r="59" spans="2:6" x14ac:dyDescent="0.3">
      <c r="B59" s="191"/>
      <c r="C59" s="352" t="s">
        <v>201</v>
      </c>
      <c r="D59" s="352"/>
      <c r="E59" s="186" t="s">
        <v>53</v>
      </c>
      <c r="F59" s="197">
        <f>F55*0.57</f>
        <v>945.80099999999993</v>
      </c>
    </row>
    <row r="60" spans="2:6" ht="28.5" customHeight="1" x14ac:dyDescent="0.3">
      <c r="B60" s="191">
        <v>5</v>
      </c>
      <c r="C60" s="354" t="s">
        <v>224</v>
      </c>
      <c r="D60" s="354"/>
      <c r="E60" s="186" t="s">
        <v>208</v>
      </c>
      <c r="F60" s="52">
        <f>14.2+26.4+3.3+23.7+72.2+213.4+9.3</f>
        <v>362.50000000000006</v>
      </c>
    </row>
    <row r="61" spans="2:6" x14ac:dyDescent="0.3">
      <c r="B61" s="186"/>
      <c r="C61" s="355" t="s">
        <v>197</v>
      </c>
      <c r="D61" s="355"/>
      <c r="E61" s="187" t="s">
        <v>6</v>
      </c>
      <c r="F61" s="52">
        <f>F60*6</f>
        <v>2175.0000000000005</v>
      </c>
    </row>
    <row r="62" spans="2:6" x14ac:dyDescent="0.3">
      <c r="B62" s="186"/>
      <c r="C62" s="355" t="s">
        <v>198</v>
      </c>
      <c r="D62" s="355"/>
      <c r="E62" s="187" t="s">
        <v>53</v>
      </c>
      <c r="F62" s="52">
        <f>F60*0.06</f>
        <v>21.750000000000004</v>
      </c>
    </row>
    <row r="63" spans="2:6" x14ac:dyDescent="0.3">
      <c r="B63" s="186"/>
      <c r="C63" s="355" t="s">
        <v>209</v>
      </c>
      <c r="D63" s="355"/>
      <c r="E63" s="187" t="s">
        <v>208</v>
      </c>
      <c r="F63" s="52">
        <f>F60*1.1</f>
        <v>398.75000000000011</v>
      </c>
    </row>
    <row r="64" spans="2:6" x14ac:dyDescent="0.3">
      <c r="B64" s="191">
        <v>6</v>
      </c>
      <c r="C64" s="354" t="s">
        <v>210</v>
      </c>
      <c r="D64" s="354"/>
      <c r="E64" s="186" t="s">
        <v>208</v>
      </c>
      <c r="F64" s="52">
        <f>14.2+26.4+3.3+23.7+72.2+213.4+9.3</f>
        <v>362.50000000000006</v>
      </c>
    </row>
    <row r="65" spans="2:6" x14ac:dyDescent="0.3">
      <c r="B65" s="186"/>
      <c r="C65" s="352" t="s">
        <v>198</v>
      </c>
      <c r="D65" s="352"/>
      <c r="E65" s="186" t="s">
        <v>53</v>
      </c>
      <c r="F65" s="52">
        <f>F64*0.25</f>
        <v>90.625000000000014</v>
      </c>
    </row>
    <row r="66" spans="2:6" x14ac:dyDescent="0.3">
      <c r="B66" s="186"/>
      <c r="C66" s="352" t="s">
        <v>206</v>
      </c>
      <c r="D66" s="352"/>
      <c r="E66" s="186" t="s">
        <v>6</v>
      </c>
      <c r="F66" s="52">
        <f>F64*2.2</f>
        <v>797.50000000000023</v>
      </c>
    </row>
    <row r="67" spans="2:6" x14ac:dyDescent="0.3">
      <c r="B67" s="186"/>
      <c r="C67" s="352" t="s">
        <v>200</v>
      </c>
      <c r="D67" s="352"/>
      <c r="E67" s="186" t="s">
        <v>7</v>
      </c>
      <c r="F67" s="52">
        <f>F64*0.04</f>
        <v>14.500000000000002</v>
      </c>
    </row>
    <row r="68" spans="2:6" x14ac:dyDescent="0.3">
      <c r="B68" s="186"/>
      <c r="C68" s="352" t="s">
        <v>201</v>
      </c>
      <c r="D68" s="352"/>
      <c r="E68" s="186" t="s">
        <v>53</v>
      </c>
      <c r="F68" s="52">
        <f>F64*0.57</f>
        <v>206.62500000000003</v>
      </c>
    </row>
    <row r="69" spans="2:6" ht="28.5" customHeight="1" x14ac:dyDescent="0.3">
      <c r="B69" s="191">
        <v>7</v>
      </c>
      <c r="C69" s="353" t="s">
        <v>211</v>
      </c>
      <c r="D69" s="353"/>
      <c r="E69" s="186" t="s">
        <v>7</v>
      </c>
      <c r="F69" s="52">
        <f>28.1+76.4</f>
        <v>104.5</v>
      </c>
    </row>
    <row r="70" spans="2:6" x14ac:dyDescent="0.3">
      <c r="B70" s="186"/>
      <c r="C70" s="351" t="s">
        <v>212</v>
      </c>
      <c r="D70" s="351"/>
      <c r="E70" s="193" t="s">
        <v>6</v>
      </c>
      <c r="F70" s="52">
        <f>F69*11.5</f>
        <v>1201.75</v>
      </c>
    </row>
    <row r="71" spans="2:6" x14ac:dyDescent="0.3">
      <c r="B71" s="186"/>
      <c r="C71" s="351" t="s">
        <v>198</v>
      </c>
      <c r="D71" s="351"/>
      <c r="E71" s="193" t="s">
        <v>6</v>
      </c>
      <c r="F71" s="52">
        <f>F69*0.25</f>
        <v>26.125</v>
      </c>
    </row>
    <row r="72" spans="2:6" x14ac:dyDescent="0.3">
      <c r="B72" s="186"/>
      <c r="C72" s="351" t="s">
        <v>213</v>
      </c>
      <c r="D72" s="351"/>
      <c r="E72" s="193" t="s">
        <v>6</v>
      </c>
      <c r="F72" s="52">
        <f>F69*0.45</f>
        <v>47.024999999999999</v>
      </c>
    </row>
    <row r="73" spans="2:6" x14ac:dyDescent="0.3">
      <c r="B73" s="186"/>
      <c r="C73" s="351" t="s">
        <v>214</v>
      </c>
      <c r="D73" s="351"/>
      <c r="E73" s="193" t="s">
        <v>7</v>
      </c>
      <c r="F73" s="52">
        <f>F69*1.02</f>
        <v>106.59</v>
      </c>
    </row>
  </sheetData>
  <mergeCells count="74">
    <mergeCell ref="C10:D10"/>
    <mergeCell ref="B1:F1"/>
    <mergeCell ref="B3:B4"/>
    <mergeCell ref="C3:D4"/>
    <mergeCell ref="E3:E4"/>
    <mergeCell ref="F3:F4"/>
    <mergeCell ref="C5:F5"/>
    <mergeCell ref="C6:D6"/>
    <mergeCell ref="C7:D7"/>
    <mergeCell ref="C8:D8"/>
    <mergeCell ref="C9:D9"/>
    <mergeCell ref="B2:F2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9:D39"/>
    <mergeCell ref="C40:F40"/>
    <mergeCell ref="C35:D35"/>
    <mergeCell ref="C36:D36"/>
    <mergeCell ref="C37:D37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71:D71"/>
    <mergeCell ref="C72:D72"/>
    <mergeCell ref="C73:D73"/>
    <mergeCell ref="C65:D65"/>
    <mergeCell ref="C66:D66"/>
    <mergeCell ref="C67:D67"/>
    <mergeCell ref="C68:D68"/>
    <mergeCell ref="C69:D69"/>
    <mergeCell ref="C70:D70"/>
  </mergeCells>
  <pageMargins left="0.7" right="0.7" top="0.75" bottom="0.75" header="0.3" footer="0.3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ТЭП ()</vt:lpstr>
      <vt:lpstr>смета  ниже 0,000-остаток</vt:lpstr>
      <vt:lpstr>смета отсек1 выше нуля-остаток </vt:lpstr>
      <vt:lpstr>кладка</vt:lpstr>
      <vt:lpstr>ограждения</vt:lpstr>
      <vt:lpstr>крытая стоянка</vt:lpstr>
      <vt:lpstr>МПИ</vt:lpstr>
      <vt:lpstr>фасад</vt:lpstr>
      <vt:lpstr>отделка</vt:lpstr>
      <vt:lpstr>полы</vt:lpstr>
      <vt:lpstr>кровля</vt:lpstr>
      <vt:lpstr>ВК</vt:lpstr>
      <vt:lpstr>ОВ</vt:lpstr>
      <vt:lpstr>ЭО.ЭМ</vt:lpstr>
      <vt:lpstr>АСП</vt:lpstr>
      <vt:lpstr>АСУД</vt:lpstr>
      <vt:lpstr>ПДВ</vt:lpstr>
      <vt:lpstr>пож сигн</vt:lpstr>
      <vt:lpstr>СС</vt:lpstr>
      <vt:lpstr>НВК</vt:lpstr>
      <vt:lpstr>благоустр.озел</vt:lpstr>
      <vt:lpstr>благоустр.трот</vt:lpstr>
      <vt:lpstr>благоустр. (покрыт)</vt:lpstr>
      <vt:lpstr>благоустр. (маф)</vt:lpstr>
      <vt:lpstr>ТЭП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2022-06-06T11:41:27Z</cp:lastPrinted>
  <dcterms:created xsi:type="dcterms:W3CDTF">2015-06-05T18:19:34Z</dcterms:created>
  <dcterms:modified xsi:type="dcterms:W3CDTF">2022-06-07T08:08:19Z</dcterms:modified>
</cp:coreProperties>
</file>