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10.0.221\tender_kom\ЗАКУПКИ\Крымская Роза\Фиалка\Металл\Новая документация\"/>
    </mc:Choice>
  </mc:AlternateContent>
  <xr:revisionPtr revIDLastSave="0" documentId="13_ncr:1_{3A58B395-AF30-4A5C-A3D0-97476E83CF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Черника - объект №1" sheetId="2" r:id="rId1"/>
    <sheet name="Фиалка - объект №2" sheetId="3" r:id="rId2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3" l="1"/>
  <c r="G47" i="3" s="1"/>
  <c r="F45" i="3"/>
  <c r="E45" i="3"/>
  <c r="H45" i="3" s="1"/>
  <c r="H44" i="3"/>
  <c r="AE44" i="3" s="1"/>
  <c r="AG43" i="3"/>
  <c r="AF42" i="3"/>
  <c r="AE42" i="3"/>
  <c r="AD42" i="3"/>
  <c r="AC42" i="3"/>
  <c r="AB42" i="3"/>
  <c r="AA42" i="3"/>
  <c r="AG42" i="3" s="1"/>
  <c r="H42" i="3"/>
  <c r="AF41" i="3"/>
  <c r="AE41" i="3"/>
  <c r="AD41" i="3"/>
  <c r="AC41" i="3"/>
  <c r="AB41" i="3"/>
  <c r="AA41" i="3"/>
  <c r="H41" i="3"/>
  <c r="AF40" i="3"/>
  <c r="AE40" i="3"/>
  <c r="AD40" i="3"/>
  <c r="AC40" i="3"/>
  <c r="AB40" i="3"/>
  <c r="AA40" i="3"/>
  <c r="AG40" i="3" s="1"/>
  <c r="H40" i="3"/>
  <c r="AF39" i="3"/>
  <c r="AE39" i="3"/>
  <c r="AD39" i="3"/>
  <c r="AC39" i="3"/>
  <c r="AB39" i="3"/>
  <c r="AA39" i="3"/>
  <c r="H39" i="3"/>
  <c r="AF38" i="3"/>
  <c r="AE38" i="3"/>
  <c r="AD38" i="3"/>
  <c r="AC38" i="3"/>
  <c r="AB38" i="3"/>
  <c r="AA38" i="3"/>
  <c r="AG38" i="3" s="1"/>
  <c r="H38" i="3"/>
  <c r="AF37" i="3"/>
  <c r="AE37" i="3"/>
  <c r="AD37" i="3"/>
  <c r="AC37" i="3"/>
  <c r="AB37" i="3"/>
  <c r="AA37" i="3"/>
  <c r="H37" i="3"/>
  <c r="AF36" i="3"/>
  <c r="AE36" i="3"/>
  <c r="AD36" i="3"/>
  <c r="AC36" i="3"/>
  <c r="AB36" i="3"/>
  <c r="AA36" i="3"/>
  <c r="AG36" i="3" s="1"/>
  <c r="H36" i="3"/>
  <c r="AF35" i="3"/>
  <c r="AE35" i="3"/>
  <c r="AD35" i="3"/>
  <c r="AC35" i="3"/>
  <c r="AB35" i="3"/>
  <c r="AA35" i="3"/>
  <c r="H35" i="3"/>
  <c r="AF34" i="3"/>
  <c r="AE34" i="3"/>
  <c r="AD34" i="3"/>
  <c r="AC34" i="3"/>
  <c r="AB34" i="3"/>
  <c r="AA34" i="3"/>
  <c r="AG34" i="3" s="1"/>
  <c r="H34" i="3"/>
  <c r="AF33" i="3"/>
  <c r="AE33" i="3"/>
  <c r="AD33" i="3"/>
  <c r="AC33" i="3"/>
  <c r="AB33" i="3"/>
  <c r="AA33" i="3"/>
  <c r="H33" i="3"/>
  <c r="AF32" i="3"/>
  <c r="AE32" i="3"/>
  <c r="AD32" i="3"/>
  <c r="AC32" i="3"/>
  <c r="AB32" i="3"/>
  <c r="AA32" i="3"/>
  <c r="AG32" i="3" s="1"/>
  <c r="H32" i="3"/>
  <c r="AF31" i="3"/>
  <c r="AE31" i="3"/>
  <c r="AD31" i="3"/>
  <c r="AC31" i="3"/>
  <c r="AB31" i="3"/>
  <c r="AA31" i="3"/>
  <c r="H31" i="3"/>
  <c r="AF30" i="3"/>
  <c r="AE30" i="3"/>
  <c r="AD30" i="3"/>
  <c r="AC30" i="3"/>
  <c r="AB30" i="3"/>
  <c r="AA30" i="3"/>
  <c r="AG30" i="3" s="1"/>
  <c r="H30" i="3"/>
  <c r="AF29" i="3"/>
  <c r="AE29" i="3"/>
  <c r="AD29" i="3"/>
  <c r="AC29" i="3"/>
  <c r="AB29" i="3"/>
  <c r="AA29" i="3"/>
  <c r="H29" i="3"/>
  <c r="AF28" i="3"/>
  <c r="AE28" i="3"/>
  <c r="AE45" i="3" s="1"/>
  <c r="AD28" i="3"/>
  <c r="AC28" i="3"/>
  <c r="AC45" i="3" s="1"/>
  <c r="AB28" i="3"/>
  <c r="AA28" i="3"/>
  <c r="AA45" i="3" s="1"/>
  <c r="H28" i="3"/>
  <c r="G24" i="3"/>
  <c r="F24" i="3"/>
  <c r="F47" i="3" s="1"/>
  <c r="E24" i="3"/>
  <c r="AD23" i="3"/>
  <c r="AC23" i="3"/>
  <c r="AB23" i="3"/>
  <c r="AA23" i="3"/>
  <c r="Y23" i="3"/>
  <c r="S23" i="3"/>
  <c r="T23" i="3" s="1"/>
  <c r="M23" i="3"/>
  <c r="N23" i="3" s="1"/>
  <c r="H23" i="3"/>
  <c r="AE22" i="3"/>
  <c r="AD22" i="3"/>
  <c r="AC22" i="3"/>
  <c r="AB22" i="3"/>
  <c r="AA22" i="3"/>
  <c r="Z22" i="3"/>
  <c r="T22" i="3"/>
  <c r="N22" i="3"/>
  <c r="H22" i="3"/>
  <c r="AE21" i="3"/>
  <c r="AD21" i="3"/>
  <c r="AC21" i="3"/>
  <c r="AB21" i="3"/>
  <c r="AA21" i="3"/>
  <c r="AF21" i="3" s="1"/>
  <c r="Z21" i="3"/>
  <c r="T21" i="3"/>
  <c r="N21" i="3"/>
  <c r="H21" i="3"/>
  <c r="AC20" i="3"/>
  <c r="Y20" i="3"/>
  <c r="X20" i="3"/>
  <c r="V20" i="3"/>
  <c r="U20" i="3"/>
  <c r="S20" i="3"/>
  <c r="R20" i="3"/>
  <c r="P20" i="3"/>
  <c r="O20" i="3"/>
  <c r="M20" i="3"/>
  <c r="L20" i="3"/>
  <c r="AD20" i="3" s="1"/>
  <c r="J20" i="3"/>
  <c r="I20" i="3"/>
  <c r="H20" i="3"/>
  <c r="AC19" i="3"/>
  <c r="Y19" i="3"/>
  <c r="X19" i="3"/>
  <c r="V19" i="3"/>
  <c r="U19" i="3"/>
  <c r="Z19" i="3" s="1"/>
  <c r="S19" i="3"/>
  <c r="R19" i="3"/>
  <c r="P19" i="3"/>
  <c r="O19" i="3"/>
  <c r="T19" i="3" s="1"/>
  <c r="M19" i="3"/>
  <c r="AE19" i="3" s="1"/>
  <c r="L19" i="3"/>
  <c r="J19" i="3"/>
  <c r="I19" i="3"/>
  <c r="N19" i="3" s="1"/>
  <c r="H19" i="3"/>
  <c r="AD18" i="3"/>
  <c r="AC18" i="3"/>
  <c r="AB18" i="3"/>
  <c r="AA18" i="3"/>
  <c r="Y18" i="3"/>
  <c r="S18" i="3"/>
  <c r="T18" i="3" s="1"/>
  <c r="M18" i="3"/>
  <c r="N18" i="3" s="1"/>
  <c r="H18" i="3"/>
  <c r="AD17" i="3"/>
  <c r="AC17" i="3"/>
  <c r="AB17" i="3"/>
  <c r="AA17" i="3"/>
  <c r="Z17" i="3"/>
  <c r="Y17" i="3"/>
  <c r="S17" i="3"/>
  <c r="T17" i="3" s="1"/>
  <c r="M17" i="3"/>
  <c r="N17" i="3" s="1"/>
  <c r="H17" i="3"/>
  <c r="AE16" i="3"/>
  <c r="AD16" i="3"/>
  <c r="AC16" i="3"/>
  <c r="AB16" i="3"/>
  <c r="AA16" i="3"/>
  <c r="AF16" i="3" s="1"/>
  <c r="Z16" i="3"/>
  <c r="T16" i="3"/>
  <c r="N16" i="3"/>
  <c r="H16" i="3"/>
  <c r="AE15" i="3"/>
  <c r="AD15" i="3"/>
  <c r="AC15" i="3"/>
  <c r="AB15" i="3"/>
  <c r="AA15" i="3"/>
  <c r="Z15" i="3"/>
  <c r="T15" i="3"/>
  <c r="N15" i="3"/>
  <c r="H15" i="3"/>
  <c r="AE14" i="3"/>
  <c r="AD14" i="3"/>
  <c r="AC14" i="3"/>
  <c r="AB14" i="3"/>
  <c r="AA14" i="3"/>
  <c r="AF14" i="3" s="1"/>
  <c r="Z14" i="3"/>
  <c r="T14" i="3"/>
  <c r="N14" i="3"/>
  <c r="H14" i="3"/>
  <c r="AC13" i="3"/>
  <c r="AB13" i="3"/>
  <c r="AA13" i="3"/>
  <c r="Y13" i="3"/>
  <c r="Z13" i="3" s="1"/>
  <c r="X13" i="3"/>
  <c r="S13" i="3"/>
  <c r="R13" i="3"/>
  <c r="M13" i="3"/>
  <c r="L13" i="3"/>
  <c r="H13" i="3"/>
  <c r="AC12" i="3"/>
  <c r="Y12" i="3"/>
  <c r="X12" i="3"/>
  <c r="V12" i="3"/>
  <c r="U12" i="3"/>
  <c r="S12" i="3"/>
  <c r="R12" i="3"/>
  <c r="P12" i="3"/>
  <c r="O12" i="3"/>
  <c r="M12" i="3"/>
  <c r="L12" i="3"/>
  <c r="AD12" i="3" s="1"/>
  <c r="J12" i="3"/>
  <c r="I12" i="3"/>
  <c r="H12" i="3"/>
  <c r="Y11" i="3"/>
  <c r="X11" i="3"/>
  <c r="W11" i="3"/>
  <c r="V11" i="3"/>
  <c r="U11" i="3"/>
  <c r="S11" i="3"/>
  <c r="AE11" i="3" s="1"/>
  <c r="R11" i="3"/>
  <c r="Q11" i="3"/>
  <c r="P11" i="3"/>
  <c r="O11" i="3"/>
  <c r="AA11" i="3" s="1"/>
  <c r="M11" i="3"/>
  <c r="L11" i="3"/>
  <c r="K11" i="3"/>
  <c r="J11" i="3"/>
  <c r="I11" i="3"/>
  <c r="H11" i="3"/>
  <c r="AC10" i="3"/>
  <c r="AA10" i="3"/>
  <c r="Y10" i="3"/>
  <c r="X10" i="3"/>
  <c r="V10" i="3"/>
  <c r="AB10" i="3" s="1"/>
  <c r="S10" i="3"/>
  <c r="R10" i="3"/>
  <c r="T10" i="3" s="1"/>
  <c r="P10" i="3"/>
  <c r="M10" i="3"/>
  <c r="L10" i="3"/>
  <c r="J10" i="3"/>
  <c r="H10" i="3"/>
  <c r="Y9" i="3"/>
  <c r="X9" i="3"/>
  <c r="W9" i="3"/>
  <c r="V9" i="3"/>
  <c r="U9" i="3"/>
  <c r="Z9" i="3" s="1"/>
  <c r="S9" i="3"/>
  <c r="R9" i="3"/>
  <c r="Q9" i="3"/>
  <c r="P9" i="3"/>
  <c r="AB9" i="3" s="1"/>
  <c r="O9" i="3"/>
  <c r="M9" i="3"/>
  <c r="L9" i="3"/>
  <c r="K9" i="3"/>
  <c r="J9" i="3"/>
  <c r="I9" i="3"/>
  <c r="N9" i="3" s="1"/>
  <c r="H9" i="3"/>
  <c r="Y8" i="3"/>
  <c r="X8" i="3"/>
  <c r="W8" i="3"/>
  <c r="V8" i="3"/>
  <c r="U8" i="3"/>
  <c r="S8" i="3"/>
  <c r="R8" i="3"/>
  <c r="Q8" i="3"/>
  <c r="P8" i="3"/>
  <c r="AB8" i="3" s="1"/>
  <c r="O8" i="3"/>
  <c r="M8" i="3"/>
  <c r="L8" i="3"/>
  <c r="K8" i="3"/>
  <c r="J8" i="3"/>
  <c r="I8" i="3"/>
  <c r="N8" i="3" s="1"/>
  <c r="H8" i="3"/>
  <c r="AE7" i="3"/>
  <c r="AD7" i="3"/>
  <c r="AC7" i="3"/>
  <c r="AB7" i="3"/>
  <c r="AA7" i="3"/>
  <c r="AF7" i="3" s="1"/>
  <c r="Z7" i="3"/>
  <c r="T7" i="3"/>
  <c r="N7" i="3"/>
  <c r="H7" i="3"/>
  <c r="AC24" i="3" l="1"/>
  <c r="AA8" i="3"/>
  <c r="AE8" i="3"/>
  <c r="AC9" i="3"/>
  <c r="AE10" i="3"/>
  <c r="AF10" i="3" s="1"/>
  <c r="AD11" i="3"/>
  <c r="AB12" i="3"/>
  <c r="AB24" i="3" s="1"/>
  <c r="AE12" i="3"/>
  <c r="AE18" i="3"/>
  <c r="AD19" i="3"/>
  <c r="AA19" i="3"/>
  <c r="AF19" i="3" s="1"/>
  <c r="AB20" i="3"/>
  <c r="AE20" i="3"/>
  <c r="AE23" i="3"/>
  <c r="H24" i="3"/>
  <c r="H47" i="3" s="1"/>
  <c r="AC8" i="3"/>
  <c r="AD8" i="3"/>
  <c r="AF8" i="3" s="1"/>
  <c r="T9" i="3"/>
  <c r="AE9" i="3"/>
  <c r="AD9" i="3"/>
  <c r="N10" i="3"/>
  <c r="AD10" i="3"/>
  <c r="N11" i="3"/>
  <c r="AB11" i="3"/>
  <c r="Z11" i="3"/>
  <c r="AC11" i="3"/>
  <c r="N12" i="3"/>
  <c r="T12" i="3"/>
  <c r="Z12" i="3"/>
  <c r="N13" i="3"/>
  <c r="T13" i="3"/>
  <c r="AF15" i="3"/>
  <c r="AB19" i="3"/>
  <c r="N20" i="3"/>
  <c r="T20" i="3"/>
  <c r="Z20" i="3"/>
  <c r="AF22" i="3"/>
  <c r="E47" i="3"/>
  <c r="AB45" i="3"/>
  <c r="AF45" i="3"/>
  <c r="AG29" i="3"/>
  <c r="AG31" i="3"/>
  <c r="AG33" i="3"/>
  <c r="AG35" i="3"/>
  <c r="AG37" i="3"/>
  <c r="AG39" i="3"/>
  <c r="AG41" i="3"/>
  <c r="AF18" i="3"/>
  <c r="AF11" i="3"/>
  <c r="AF23" i="3"/>
  <c r="T11" i="3"/>
  <c r="AD13" i="3"/>
  <c r="AE17" i="3"/>
  <c r="AF17" i="3" s="1"/>
  <c r="Z18" i="3"/>
  <c r="AD44" i="3"/>
  <c r="AG44" i="3" s="1"/>
  <c r="Z8" i="3"/>
  <c r="Z10" i="3"/>
  <c r="AA12" i="3"/>
  <c r="AE13" i="3"/>
  <c r="AE24" i="3" s="1"/>
  <c r="AA20" i="3"/>
  <c r="Z23" i="3"/>
  <c r="AG28" i="3"/>
  <c r="T8" i="3"/>
  <c r="AA9" i="3"/>
  <c r="D19" i="2"/>
  <c r="E19" i="2"/>
  <c r="F19" i="2"/>
  <c r="G19" i="2"/>
  <c r="H19" i="2"/>
  <c r="C15" i="2"/>
  <c r="C16" i="2"/>
  <c r="C17" i="2"/>
  <c r="C8" i="2"/>
  <c r="C5" i="2"/>
  <c r="C6" i="2"/>
  <c r="C7" i="2"/>
  <c r="C9" i="2"/>
  <c r="C10" i="2"/>
  <c r="C11" i="2"/>
  <c r="C12" i="2"/>
  <c r="C13" i="2"/>
  <c r="C14" i="2"/>
  <c r="C19" i="2" l="1"/>
  <c r="AF9" i="3"/>
  <c r="AF20" i="3"/>
  <c r="AF12" i="3"/>
  <c r="AD24" i="3"/>
  <c r="AA24" i="3"/>
  <c r="AF13" i="3"/>
  <c r="AD45" i="3"/>
  <c r="AG45" i="3" s="1"/>
  <c r="AG47" i="3" l="1"/>
  <c r="AF24" i="3"/>
</calcChain>
</file>

<file path=xl/sharedStrings.xml><?xml version="1.0" encoding="utf-8"?>
<sst xmlns="http://schemas.openxmlformats.org/spreadsheetml/2006/main" count="157" uniqueCount="84">
  <si>
    <t>Период поставки</t>
  </si>
  <si>
    <t>ВСЕГО</t>
  </si>
  <si>
    <t>Швеллер 140*40*3</t>
  </si>
  <si>
    <t>Полосовой горячекатаный прокат толщиной 10-75 мм, при ширине 100-200 мм, из углеродистой стали обыкновенного качества марки: Ст3сп</t>
  </si>
  <si>
    <t>Горячекатанная арматурная сталь класса А500 С, диаметром: 12 мм</t>
  </si>
  <si>
    <t>Горячекатаная арматурная сталь гладкая класса А-III, диаметром: 8 мм</t>
  </si>
  <si>
    <t>Горячекатаная арматурная сталь гладкая класса А-I, диаметром: 6 мм</t>
  </si>
  <si>
    <t>Сетка сварная из холоднотянутой проволоки 4-5 мм</t>
  </si>
  <si>
    <t>Профиль 60*60*3</t>
  </si>
  <si>
    <t>Профиль 40*20*2</t>
  </si>
  <si>
    <t>Прокат полосовой 8*100</t>
  </si>
  <si>
    <t>Прокат полосовой 4*40</t>
  </si>
  <si>
    <t>Прокат полосовой 6*80</t>
  </si>
  <si>
    <t xml:space="preserve">Отдельные конструктивные элементы зданий и сооружений с преобладанием: горячекатаных профилей, средняя масса сборочной единицы до 0,1 т (ст.угловая 63*63 ; 125*100*5 и т.д.) </t>
  </si>
  <si>
    <t>Ограждение балконов, л/к,кровли</t>
  </si>
  <si>
    <t>Номенклатура поставки</t>
  </si>
  <si>
    <t>№№</t>
  </si>
  <si>
    <t>Горячекатанная арматурная сталь класса А500 С, диаметром 18 мм</t>
  </si>
  <si>
    <t>Горячекатанная арматурная сталь класса А500 С, диаметром 10 мм</t>
  </si>
  <si>
    <t>Горячекатанная арматурная сталь класса А500 С, диаметром 12 мм</t>
  </si>
  <si>
    <t>Горячекатанная арматурная сталь класса А500 С, диаметром 16 мм</t>
  </si>
  <si>
    <t>Горячекатанная арматурная сталь класса А240 С, диаметром 8 мм</t>
  </si>
  <si>
    <t>Горячекатанная арматурная сталь класса А240 С, диаметром 6 мм</t>
  </si>
  <si>
    <t>Горячекатанная арматурная сталь класса А500 С, диаметром 14 мм</t>
  </si>
  <si>
    <t>Вязальная проволока 1.2мм</t>
  </si>
  <si>
    <t>Полоса 10мм</t>
  </si>
  <si>
    <t>Полоса мет. 50*5 мм</t>
  </si>
  <si>
    <t>Уголок 50*50*5</t>
  </si>
  <si>
    <t>уголок 63*6</t>
  </si>
  <si>
    <t>Уголок мет. 63*63*5 мм</t>
  </si>
  <si>
    <t xml:space="preserve">Приложение № 1 к ТЗ на проведение тендера по выбору поставщика металлопроката 
</t>
  </si>
  <si>
    <t>21.07.2020г</t>
  </si>
  <si>
    <t>ед.изм</t>
  </si>
  <si>
    <t>кол-во</t>
  </si>
  <si>
    <t>ЭТАП 24</t>
  </si>
  <si>
    <t>ЭТАП 25</t>
  </si>
  <si>
    <t>ЭТАП 26</t>
  </si>
  <si>
    <t>На все секции (24,25,26)</t>
  </si>
  <si>
    <t>КАРКАС выше отм.0,000</t>
  </si>
  <si>
    <t xml:space="preserve">Общее количество </t>
  </si>
  <si>
    <t>5,6,7 этажи</t>
  </si>
  <si>
    <t>8,9,10 этажи</t>
  </si>
  <si>
    <t>11,12,13 этажи</t>
  </si>
  <si>
    <t>14,15,16 этажи</t>
  </si>
  <si>
    <t>тех.этаж+кровля</t>
  </si>
  <si>
    <t>итого по секции</t>
  </si>
  <si>
    <t>ИТОГО</t>
  </si>
  <si>
    <t>КЖ выше отм.0,000 (вертикал+перекрытие)</t>
  </si>
  <si>
    <t>август</t>
  </si>
  <si>
    <t>сентябрь</t>
  </si>
  <si>
    <t>октябрь</t>
  </si>
  <si>
    <t>ноябрь</t>
  </si>
  <si>
    <t>декабрь</t>
  </si>
  <si>
    <t>Проволока Вр1 диаметром 5мм</t>
  </si>
  <si>
    <t>тн</t>
  </si>
  <si>
    <t>Горячекатанная арматурная сталь класса А240 С, диаметром: 6 мм</t>
  </si>
  <si>
    <t>Горячекатанная арматурная сталь класса А240 С, диаметром: 8 мм</t>
  </si>
  <si>
    <t>Горячекатанная арматурная сталь класса А500 С, диаметром: 10 мм</t>
  </si>
  <si>
    <t>Горячекатанная арматурная сталь класса А500 С, диаметром: 14 мм</t>
  </si>
  <si>
    <t>Горячекатанная арматурная сталь класса А500 С, диаметром: 16 мм</t>
  </si>
  <si>
    <t>Горячекатанная арматурная сталь класса А500 С, диаметром: 18 мм</t>
  </si>
  <si>
    <t>Лист δ=10 мм</t>
  </si>
  <si>
    <t>Лист δ=6 мм</t>
  </si>
  <si>
    <t>Лист δ=3 мм</t>
  </si>
  <si>
    <t xml:space="preserve">Труба Ø219х4 </t>
  </si>
  <si>
    <t>Труба Ø159х3</t>
  </si>
  <si>
    <t>Полоса δ=6 мм</t>
  </si>
  <si>
    <t>Швеллер №24П</t>
  </si>
  <si>
    <t>Швеллер №20П</t>
  </si>
  <si>
    <t>Проволка вязальная диаметром 1,2мм</t>
  </si>
  <si>
    <t>Итого</t>
  </si>
  <si>
    <t>Стены и перегородки</t>
  </si>
  <si>
    <t>1,2,3</t>
  </si>
  <si>
    <t>4,5,6</t>
  </si>
  <si>
    <t>7,8,9</t>
  </si>
  <si>
    <t>10,11,12</t>
  </si>
  <si>
    <t>13,14,15</t>
  </si>
  <si>
    <t>16,тех.эт.</t>
  </si>
  <si>
    <t>Углолок равнополочный  100*100*7</t>
  </si>
  <si>
    <t>Углолок равнополочный  50*50*5</t>
  </si>
  <si>
    <t>Углолок равнополочный  63*63*6</t>
  </si>
  <si>
    <t>Всего по каркасу:</t>
  </si>
  <si>
    <t>График поставки металлических изделий на ЖК Черника (объект 1)</t>
  </si>
  <si>
    <t>ЖК "Фиалка" (объект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</si>
</sst>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65" fontId="1" fillId="0" borderId="0" xfId="0" applyNumberFormat="1" applyFont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1" fontId="6" fillId="0" borderId="0" xfId="0" applyNumberFormat="1" applyFont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/>
    <xf numFmtId="0" fontId="9" fillId="0" borderId="1" xfId="0" applyFont="1" applyBorder="1" applyAlignment="1">
      <alignment horizontal="left" vertical="top" wrapText="1"/>
    </xf>
    <xf numFmtId="166" fontId="10" fillId="4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166" fontId="10" fillId="3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66" fontId="0" fillId="0" borderId="0" xfId="0" applyNumberFormat="1"/>
    <xf numFmtId="0" fontId="9" fillId="0" borderId="2" xfId="0" applyFont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166" fontId="7" fillId="5" borderId="1" xfId="0" applyNumberFormat="1" applyFont="1" applyFill="1" applyBorder="1" applyAlignment="1">
      <alignment horizontal="center" vertical="top"/>
    </xf>
    <xf numFmtId="166" fontId="7" fillId="6" borderId="1" xfId="0" applyNumberFormat="1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top" wrapText="1"/>
    </xf>
    <xf numFmtId="0" fontId="0" fillId="6" borderId="1" xfId="0" applyFill="1" applyBorder="1"/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/>
    <xf numFmtId="0" fontId="12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7" borderId="0" xfId="0" applyFill="1"/>
    <xf numFmtId="0" fontId="0" fillId="7" borderId="0" xfId="0" applyFill="1" applyBorder="1"/>
    <xf numFmtId="0" fontId="0" fillId="0" borderId="0" xfId="0" applyBorder="1"/>
    <xf numFmtId="0" fontId="13" fillId="0" borderId="1" xfId="0" applyFont="1" applyBorder="1" applyAlignment="1">
      <alignment horizontal="left" vertical="center" wrapText="1"/>
    </xf>
    <xf numFmtId="0" fontId="3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/>
    <xf numFmtId="0" fontId="0" fillId="5" borderId="1" xfId="0" applyFill="1" applyBorder="1"/>
    <xf numFmtId="0" fontId="8" fillId="0" borderId="1" xfId="0" applyFont="1" applyBorder="1"/>
    <xf numFmtId="166" fontId="8" fillId="5" borderId="1" xfId="0" applyNumberFormat="1" applyFont="1" applyFill="1" applyBorder="1" applyAlignment="1">
      <alignment horizontal="center"/>
    </xf>
    <xf numFmtId="166" fontId="8" fillId="6" borderId="1" xfId="0" applyNumberFormat="1" applyFont="1" applyFill="1" applyBorder="1"/>
    <xf numFmtId="0" fontId="0" fillId="0" borderId="0" xfId="0" applyAlignment="1">
      <alignment horizontal="center"/>
    </xf>
    <xf numFmtId="17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workbookViewId="0">
      <pane xSplit="12" ySplit="4" topLeftCell="M5" activePane="bottomRight" state="frozen"/>
      <selection pane="topRight" activeCell="M1" sqref="M1"/>
      <selection pane="bottomLeft" activeCell="A4" sqref="A4"/>
      <selection pane="bottomRight" activeCell="K1" sqref="K1"/>
    </sheetView>
  </sheetViews>
  <sheetFormatPr defaultColWidth="9.140625" defaultRowHeight="15.75" x14ac:dyDescent="0.25"/>
  <cols>
    <col min="1" max="1" width="6.28515625" style="1" customWidth="1"/>
    <col min="2" max="2" width="77.28515625" style="1" customWidth="1"/>
    <col min="3" max="11" width="10.28515625" style="1" customWidth="1"/>
    <col min="12" max="16384" width="9.140625" style="1"/>
  </cols>
  <sheetData>
    <row r="1" spans="1:11" x14ac:dyDescent="0.25">
      <c r="B1" s="13"/>
      <c r="C1" s="13"/>
      <c r="D1" s="13"/>
      <c r="E1" s="13"/>
      <c r="F1" s="13"/>
      <c r="G1" s="13"/>
      <c r="H1" s="13"/>
      <c r="I1" s="13"/>
      <c r="J1" s="13"/>
      <c r="K1" s="12" t="s">
        <v>30</v>
      </c>
    </row>
    <row r="2" spans="1:11" x14ac:dyDescent="0.25">
      <c r="A2" s="1" t="s">
        <v>82</v>
      </c>
    </row>
    <row r="3" spans="1:11" x14ac:dyDescent="0.25">
      <c r="A3" s="85" t="s">
        <v>16</v>
      </c>
      <c r="B3" s="85" t="s">
        <v>15</v>
      </c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x14ac:dyDescent="0.25">
      <c r="A4" s="85"/>
      <c r="B4" s="85"/>
      <c r="C4" s="5" t="s">
        <v>1</v>
      </c>
      <c r="D4" s="6">
        <v>44044</v>
      </c>
      <c r="E4" s="6">
        <v>44075</v>
      </c>
      <c r="F4" s="6">
        <v>44105</v>
      </c>
      <c r="G4" s="6">
        <v>44136</v>
      </c>
      <c r="H4" s="6">
        <v>44166</v>
      </c>
      <c r="I4" s="6">
        <v>44197</v>
      </c>
      <c r="J4" s="6">
        <v>44228</v>
      </c>
      <c r="K4" s="6">
        <v>44256</v>
      </c>
    </row>
    <row r="5" spans="1:11" x14ac:dyDescent="0.25">
      <c r="A5" s="9">
        <v>1</v>
      </c>
      <c r="B5" s="7" t="s">
        <v>17</v>
      </c>
      <c r="C5" s="8">
        <f t="shared" ref="C5:C17" si="0">SUM(D5:K5)</f>
        <v>18</v>
      </c>
      <c r="D5" s="8">
        <v>6</v>
      </c>
      <c r="E5" s="8">
        <v>4</v>
      </c>
      <c r="F5" s="8">
        <v>8</v>
      </c>
      <c r="G5" s="8"/>
      <c r="H5" s="8"/>
      <c r="I5" s="8"/>
      <c r="J5" s="8"/>
      <c r="K5" s="11"/>
    </row>
    <row r="6" spans="1:11" x14ac:dyDescent="0.25">
      <c r="A6" s="9">
        <v>2</v>
      </c>
      <c r="B6" s="7" t="s">
        <v>18</v>
      </c>
      <c r="C6" s="8">
        <f t="shared" si="0"/>
        <v>424</v>
      </c>
      <c r="D6" s="8">
        <v>148</v>
      </c>
      <c r="E6" s="8">
        <v>132</v>
      </c>
      <c r="F6" s="8">
        <v>52</v>
      </c>
      <c r="G6" s="8">
        <v>72</v>
      </c>
      <c r="H6" s="8">
        <v>20</v>
      </c>
      <c r="I6" s="8"/>
      <c r="J6" s="8"/>
      <c r="K6" s="11"/>
    </row>
    <row r="7" spans="1:11" x14ac:dyDescent="0.25">
      <c r="A7" s="9">
        <v>3</v>
      </c>
      <c r="B7" s="7" t="s">
        <v>19</v>
      </c>
      <c r="C7" s="8">
        <f t="shared" si="0"/>
        <v>356</v>
      </c>
      <c r="D7" s="8">
        <v>122</v>
      </c>
      <c r="E7" s="8">
        <v>100</v>
      </c>
      <c r="F7" s="8">
        <v>46</v>
      </c>
      <c r="G7" s="8">
        <v>68</v>
      </c>
      <c r="H7" s="8">
        <v>20</v>
      </c>
      <c r="I7" s="8"/>
      <c r="J7" s="8"/>
      <c r="K7" s="11"/>
    </row>
    <row r="8" spans="1:11" x14ac:dyDescent="0.25">
      <c r="A8" s="9">
        <v>4</v>
      </c>
      <c r="B8" s="7" t="s">
        <v>23</v>
      </c>
      <c r="C8" s="8">
        <f t="shared" si="0"/>
        <v>20</v>
      </c>
      <c r="D8" s="8">
        <v>4</v>
      </c>
      <c r="E8" s="8">
        <v>4</v>
      </c>
      <c r="F8" s="8">
        <v>4</v>
      </c>
      <c r="G8" s="8">
        <v>4</v>
      </c>
      <c r="H8" s="8">
        <v>4</v>
      </c>
      <c r="I8" s="8"/>
      <c r="J8" s="8"/>
      <c r="K8" s="11"/>
    </row>
    <row r="9" spans="1:11" x14ac:dyDescent="0.25">
      <c r="A9" s="9">
        <v>5</v>
      </c>
      <c r="B9" s="7" t="s">
        <v>20</v>
      </c>
      <c r="C9" s="8">
        <f t="shared" si="0"/>
        <v>60</v>
      </c>
      <c r="D9" s="8">
        <v>20</v>
      </c>
      <c r="E9" s="8">
        <v>20</v>
      </c>
      <c r="F9" s="8">
        <v>20</v>
      </c>
      <c r="G9" s="8"/>
      <c r="H9" s="8"/>
      <c r="I9" s="8"/>
      <c r="J9" s="8"/>
      <c r="K9" s="11"/>
    </row>
    <row r="10" spans="1:11" x14ac:dyDescent="0.25">
      <c r="A10" s="9">
        <v>6</v>
      </c>
      <c r="B10" s="7" t="s">
        <v>21</v>
      </c>
      <c r="C10" s="8">
        <f t="shared" si="0"/>
        <v>20</v>
      </c>
      <c r="D10" s="8">
        <v>8</v>
      </c>
      <c r="E10" s="8">
        <v>6</v>
      </c>
      <c r="F10" s="8">
        <v>2</v>
      </c>
      <c r="G10" s="8">
        <v>2</v>
      </c>
      <c r="H10" s="8">
        <v>2</v>
      </c>
      <c r="I10" s="8"/>
      <c r="J10" s="8"/>
      <c r="K10" s="11"/>
    </row>
    <row r="11" spans="1:11" x14ac:dyDescent="0.25">
      <c r="A11" s="9">
        <v>7</v>
      </c>
      <c r="B11" s="7" t="s">
        <v>22</v>
      </c>
      <c r="C11" s="8">
        <f t="shared" si="0"/>
        <v>14</v>
      </c>
      <c r="D11" s="8">
        <v>4</v>
      </c>
      <c r="E11" s="8">
        <v>4</v>
      </c>
      <c r="F11" s="8">
        <v>4</v>
      </c>
      <c r="G11" s="8"/>
      <c r="H11" s="8">
        <v>2</v>
      </c>
      <c r="I11" s="8"/>
      <c r="J11" s="8"/>
      <c r="K11" s="11"/>
    </row>
    <row r="12" spans="1:11" x14ac:dyDescent="0.25">
      <c r="A12" s="9">
        <v>8</v>
      </c>
      <c r="B12" s="7" t="s">
        <v>24</v>
      </c>
      <c r="C12" s="8">
        <f t="shared" si="0"/>
        <v>10</v>
      </c>
      <c r="D12" s="8">
        <v>3</v>
      </c>
      <c r="E12" s="8">
        <v>2</v>
      </c>
      <c r="F12" s="8">
        <v>2.5</v>
      </c>
      <c r="G12" s="8">
        <v>1</v>
      </c>
      <c r="H12" s="8">
        <v>1.5</v>
      </c>
      <c r="I12" s="8"/>
      <c r="J12" s="8"/>
      <c r="K12" s="11"/>
    </row>
    <row r="13" spans="1:11" x14ac:dyDescent="0.25">
      <c r="A13" s="9">
        <v>9</v>
      </c>
      <c r="B13" s="7" t="s">
        <v>25</v>
      </c>
      <c r="C13" s="8">
        <f t="shared" si="0"/>
        <v>10</v>
      </c>
      <c r="D13" s="8">
        <v>4</v>
      </c>
      <c r="E13" s="8">
        <v>4</v>
      </c>
      <c r="F13" s="8"/>
      <c r="G13" s="8">
        <v>1</v>
      </c>
      <c r="H13" s="8">
        <v>1</v>
      </c>
      <c r="I13" s="8"/>
      <c r="J13" s="8"/>
      <c r="K13" s="11"/>
    </row>
    <row r="14" spans="1:11" x14ac:dyDescent="0.25">
      <c r="A14" s="9">
        <v>10</v>
      </c>
      <c r="B14" s="7" t="s">
        <v>26</v>
      </c>
      <c r="C14" s="8">
        <f t="shared" si="0"/>
        <v>10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/>
      <c r="J14" s="8"/>
      <c r="K14" s="11"/>
    </row>
    <row r="15" spans="1:11" x14ac:dyDescent="0.25">
      <c r="A15" s="9">
        <v>11</v>
      </c>
      <c r="B15" s="7" t="s">
        <v>27</v>
      </c>
      <c r="C15" s="8">
        <f t="shared" si="0"/>
        <v>79</v>
      </c>
      <c r="D15" s="8">
        <v>25</v>
      </c>
      <c r="E15" s="8">
        <v>20</v>
      </c>
      <c r="F15" s="8">
        <v>16</v>
      </c>
      <c r="G15" s="8">
        <v>12</v>
      </c>
      <c r="H15" s="8">
        <v>6</v>
      </c>
      <c r="I15" s="8"/>
      <c r="J15" s="8"/>
      <c r="K15" s="11"/>
    </row>
    <row r="16" spans="1:11" x14ac:dyDescent="0.25">
      <c r="A16" s="9">
        <v>12</v>
      </c>
      <c r="B16" s="7" t="s">
        <v>28</v>
      </c>
      <c r="C16" s="8">
        <f t="shared" si="0"/>
        <v>10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8"/>
      <c r="J16" s="8"/>
      <c r="K16" s="11"/>
    </row>
    <row r="17" spans="1:11" x14ac:dyDescent="0.25">
      <c r="A17" s="9">
        <v>13</v>
      </c>
      <c r="B17" s="7" t="s">
        <v>29</v>
      </c>
      <c r="C17" s="8">
        <f t="shared" si="0"/>
        <v>24</v>
      </c>
      <c r="D17" s="8">
        <v>6</v>
      </c>
      <c r="E17" s="8">
        <v>6</v>
      </c>
      <c r="F17" s="8">
        <v>4</v>
      </c>
      <c r="G17" s="8">
        <v>4</v>
      </c>
      <c r="H17" s="8">
        <v>4</v>
      </c>
      <c r="I17" s="8"/>
      <c r="J17" s="8"/>
      <c r="K17" s="11"/>
    </row>
    <row r="18" spans="1:11" x14ac:dyDescent="0.25">
      <c r="A18" s="9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9"/>
      <c r="B19" s="7" t="s">
        <v>1</v>
      </c>
      <c r="C19" s="8">
        <f>SUM(C5:C18)</f>
        <v>1055</v>
      </c>
      <c r="D19" s="8">
        <f t="shared" ref="D19:H19" si="1">SUM(D5:D18)</f>
        <v>354</v>
      </c>
      <c r="E19" s="8">
        <f t="shared" si="1"/>
        <v>306</v>
      </c>
      <c r="F19" s="8">
        <f t="shared" si="1"/>
        <v>162.5</v>
      </c>
      <c r="G19" s="8">
        <f t="shared" si="1"/>
        <v>168</v>
      </c>
      <c r="H19" s="8">
        <f t="shared" si="1"/>
        <v>64.5</v>
      </c>
      <c r="I19" s="8"/>
      <c r="J19" s="8"/>
      <c r="K19" s="8"/>
    </row>
    <row r="20" spans="1:11" x14ac:dyDescent="0.25">
      <c r="B20" s="3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B21" s="3"/>
      <c r="D21" s="10"/>
      <c r="E21" s="10"/>
      <c r="F21" s="10"/>
      <c r="G21" s="10"/>
      <c r="H21" s="10"/>
      <c r="I21" s="10"/>
      <c r="J21" s="10"/>
    </row>
    <row r="22" spans="1:11" x14ac:dyDescent="0.25">
      <c r="B22" s="3"/>
    </row>
    <row r="23" spans="1:11" x14ac:dyDescent="0.25">
      <c r="B23" s="3"/>
    </row>
    <row r="24" spans="1:11" x14ac:dyDescent="0.25">
      <c r="B24" s="3"/>
    </row>
    <row r="25" spans="1:11" x14ac:dyDescent="0.25">
      <c r="B25" s="3"/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8"/>
  <sheetViews>
    <sheetView workbookViewId="0">
      <selection activeCell="D3" sqref="D3"/>
    </sheetView>
  </sheetViews>
  <sheetFormatPr defaultRowHeight="15" outlineLevelCol="1" x14ac:dyDescent="0.25"/>
  <cols>
    <col min="2" max="2" width="48.28515625" customWidth="1"/>
    <col min="3" max="3" width="8.42578125" customWidth="1"/>
    <col min="4" max="4" width="7" customWidth="1"/>
    <col min="5" max="5" width="10.7109375" style="83" customWidth="1"/>
    <col min="6" max="7" width="10.7109375" customWidth="1"/>
    <col min="8" max="8" width="11.85546875" bestFit="1" customWidth="1"/>
    <col min="9" max="10" width="9.28515625" hidden="1" customWidth="1" outlineLevel="1"/>
    <col min="11" max="14" width="9.140625" hidden="1" customWidth="1" outlineLevel="1"/>
    <col min="15" max="15" width="9.140625" hidden="1" customWidth="1" outlineLevel="1" collapsed="1"/>
    <col min="16" max="26" width="9.140625" hidden="1" customWidth="1" outlineLevel="1"/>
    <col min="27" max="27" width="10" bestFit="1" customWidth="1" collapsed="1"/>
    <col min="28" max="28" width="10.140625" bestFit="1" customWidth="1"/>
    <col min="29" max="29" width="10" bestFit="1" customWidth="1"/>
    <col min="30" max="30" width="11" bestFit="1" customWidth="1"/>
    <col min="31" max="32" width="10" bestFit="1" customWidth="1"/>
  </cols>
  <sheetData>
    <row r="1" spans="1:33" ht="15.75" x14ac:dyDescent="0.25">
      <c r="A1" s="14"/>
      <c r="B1" s="14"/>
      <c r="C1" s="14"/>
      <c r="D1" s="14"/>
      <c r="E1" s="15"/>
      <c r="F1" s="14"/>
      <c r="G1" s="14"/>
      <c r="H1" s="12" t="s">
        <v>30</v>
      </c>
      <c r="I1" s="14"/>
      <c r="J1" s="14"/>
      <c r="K1" s="14"/>
      <c r="L1" s="14"/>
      <c r="M1" s="14"/>
      <c r="N1" s="14"/>
    </row>
    <row r="2" spans="1:33" ht="37.5" customHeight="1" x14ac:dyDescent="0.25">
      <c r="A2" s="14"/>
      <c r="B2" s="14"/>
      <c r="C2" s="14"/>
      <c r="D2" s="14"/>
      <c r="E2" s="15"/>
      <c r="F2" s="14"/>
      <c r="G2" s="14"/>
      <c r="H2" s="14"/>
      <c r="I2" s="14"/>
      <c r="J2" s="14"/>
      <c r="K2" s="14"/>
      <c r="L2" s="14"/>
      <c r="M2" s="14"/>
      <c r="N2" s="14"/>
    </row>
    <row r="3" spans="1:33" ht="18.75" customHeight="1" x14ac:dyDescent="0.25">
      <c r="A3" s="14"/>
      <c r="B3" s="16" t="s">
        <v>83</v>
      </c>
      <c r="C3" s="16"/>
      <c r="D3" s="16"/>
      <c r="E3" s="17"/>
      <c r="F3" s="18"/>
      <c r="G3" s="19"/>
      <c r="H3" s="20" t="s">
        <v>31</v>
      </c>
      <c r="I3" s="14"/>
      <c r="J3" s="14"/>
      <c r="K3" s="14"/>
      <c r="L3" s="14"/>
      <c r="M3" s="14"/>
      <c r="N3" s="14"/>
    </row>
    <row r="4" spans="1:33" ht="15.75" customHeight="1" x14ac:dyDescent="0.25">
      <c r="A4" s="14"/>
      <c r="B4" s="21"/>
      <c r="C4" s="21"/>
      <c r="D4" s="21" t="s">
        <v>32</v>
      </c>
      <c r="E4" s="22" t="s">
        <v>33</v>
      </c>
      <c r="F4" s="22" t="s">
        <v>33</v>
      </c>
      <c r="G4" s="22" t="s">
        <v>33</v>
      </c>
      <c r="H4" s="23"/>
      <c r="I4" s="86" t="s">
        <v>34</v>
      </c>
      <c r="J4" s="86"/>
      <c r="K4" s="86"/>
      <c r="L4" s="86"/>
      <c r="M4" s="86"/>
      <c r="N4" s="86"/>
      <c r="O4" s="86" t="s">
        <v>35</v>
      </c>
      <c r="P4" s="86"/>
      <c r="Q4" s="86"/>
      <c r="R4" s="86"/>
      <c r="S4" s="86"/>
      <c r="T4" s="86"/>
      <c r="U4" s="86" t="s">
        <v>36</v>
      </c>
      <c r="V4" s="86"/>
      <c r="W4" s="86"/>
      <c r="X4" s="86"/>
      <c r="Y4" s="86"/>
      <c r="Z4" s="86"/>
      <c r="AA4" s="87" t="s">
        <v>37</v>
      </c>
      <c r="AB4" s="87"/>
      <c r="AC4" s="87"/>
      <c r="AD4" s="87"/>
      <c r="AE4" s="87"/>
      <c r="AF4" s="87"/>
    </row>
    <row r="5" spans="1:33" ht="33" customHeight="1" x14ac:dyDescent="0.25">
      <c r="A5" s="14"/>
      <c r="B5" s="24" t="s">
        <v>38</v>
      </c>
      <c r="C5" s="25"/>
      <c r="D5" s="25"/>
      <c r="E5" s="26" t="s">
        <v>34</v>
      </c>
      <c r="F5" s="26" t="s">
        <v>35</v>
      </c>
      <c r="G5" s="26" t="s">
        <v>36</v>
      </c>
      <c r="H5" s="27" t="s">
        <v>39</v>
      </c>
      <c r="I5" s="28" t="s">
        <v>40</v>
      </c>
      <c r="J5" s="28" t="s">
        <v>41</v>
      </c>
      <c r="K5" s="28" t="s">
        <v>42</v>
      </c>
      <c r="L5" s="28" t="s">
        <v>43</v>
      </c>
      <c r="M5" s="28" t="s">
        <v>44</v>
      </c>
      <c r="N5" s="28" t="s">
        <v>45</v>
      </c>
      <c r="O5" s="28" t="s">
        <v>40</v>
      </c>
      <c r="P5" s="28" t="s">
        <v>41</v>
      </c>
      <c r="Q5" s="28" t="s">
        <v>42</v>
      </c>
      <c r="R5" s="28" t="s">
        <v>43</v>
      </c>
      <c r="S5" s="28" t="s">
        <v>44</v>
      </c>
      <c r="T5" s="28" t="s">
        <v>45</v>
      </c>
      <c r="U5" s="28" t="s">
        <v>40</v>
      </c>
      <c r="V5" s="28" t="s">
        <v>41</v>
      </c>
      <c r="W5" s="28" t="s">
        <v>42</v>
      </c>
      <c r="X5" s="28" t="s">
        <v>43</v>
      </c>
      <c r="Y5" s="28" t="s">
        <v>44</v>
      </c>
      <c r="Z5" s="28" t="s">
        <v>45</v>
      </c>
      <c r="AA5" s="28" t="s">
        <v>40</v>
      </c>
      <c r="AB5" s="28" t="s">
        <v>41</v>
      </c>
      <c r="AC5" s="28" t="s">
        <v>42</v>
      </c>
      <c r="AD5" s="28" t="s">
        <v>43</v>
      </c>
      <c r="AE5" s="28" t="s">
        <v>44</v>
      </c>
      <c r="AF5" s="28" t="s">
        <v>46</v>
      </c>
    </row>
    <row r="6" spans="1:33" ht="15.75" customHeight="1" x14ac:dyDescent="0.25">
      <c r="A6" s="14"/>
      <c r="B6" s="29" t="s">
        <v>47</v>
      </c>
      <c r="C6" s="29"/>
      <c r="D6" s="21"/>
      <c r="E6" s="22"/>
      <c r="F6" s="22"/>
      <c r="G6" s="22"/>
      <c r="H6" s="30"/>
      <c r="I6" s="31" t="s">
        <v>48</v>
      </c>
      <c r="J6" s="31" t="s">
        <v>49</v>
      </c>
      <c r="K6" s="31" t="s">
        <v>50</v>
      </c>
      <c r="L6" s="31" t="s">
        <v>51</v>
      </c>
      <c r="M6" s="31" t="s">
        <v>52</v>
      </c>
      <c r="N6" s="32"/>
      <c r="O6" s="31" t="s">
        <v>48</v>
      </c>
      <c r="P6" s="31" t="s">
        <v>49</v>
      </c>
      <c r="Q6" s="31" t="s">
        <v>50</v>
      </c>
      <c r="R6" s="31" t="s">
        <v>51</v>
      </c>
      <c r="S6" s="31" t="s">
        <v>52</v>
      </c>
      <c r="T6" s="32"/>
      <c r="U6" s="31" t="s">
        <v>48</v>
      </c>
      <c r="V6" s="31" t="s">
        <v>49</v>
      </c>
      <c r="W6" s="31" t="s">
        <v>50</v>
      </c>
      <c r="X6" s="31" t="s">
        <v>51</v>
      </c>
      <c r="Y6" s="31" t="s">
        <v>52</v>
      </c>
      <c r="Z6" s="32"/>
      <c r="AA6" s="84">
        <v>44044</v>
      </c>
      <c r="AB6" s="84">
        <v>44075</v>
      </c>
      <c r="AC6" s="84">
        <v>44105</v>
      </c>
      <c r="AD6" s="84">
        <v>44136</v>
      </c>
      <c r="AE6" s="84">
        <v>44166</v>
      </c>
      <c r="AF6" s="32"/>
    </row>
    <row r="7" spans="1:33" ht="18.75" customHeight="1" x14ac:dyDescent="0.25">
      <c r="A7" s="14"/>
      <c r="B7" s="33" t="s">
        <v>53</v>
      </c>
      <c r="C7" s="33"/>
      <c r="D7" s="33" t="s">
        <v>54</v>
      </c>
      <c r="E7" s="34">
        <v>2.4199999999999998E-3</v>
      </c>
      <c r="F7" s="35">
        <v>2.4199999999999998E-3</v>
      </c>
      <c r="G7" s="35">
        <v>2.4199999999999998E-3</v>
      </c>
      <c r="H7" s="36">
        <f>E7+F7+G7</f>
        <v>7.2599999999999991E-3</v>
      </c>
      <c r="I7" s="37">
        <v>6.0499999999999996E-4</v>
      </c>
      <c r="J7" s="37">
        <v>6.0499999999999996E-4</v>
      </c>
      <c r="K7" s="37">
        <v>6.0499999999999996E-4</v>
      </c>
      <c r="L7" s="37">
        <v>6.0499999999999996E-4</v>
      </c>
      <c r="M7" s="37"/>
      <c r="N7" s="38">
        <f>I7+J7+K7+L7+M7</f>
        <v>2.4199999999999998E-3</v>
      </c>
      <c r="O7" s="37">
        <v>6.0499999999999996E-4</v>
      </c>
      <c r="P7" s="37">
        <v>6.0499999999999996E-4</v>
      </c>
      <c r="Q7" s="37">
        <v>6.0499999999999996E-4</v>
      </c>
      <c r="R7" s="37">
        <v>6.0499999999999996E-4</v>
      </c>
      <c r="S7" s="37"/>
      <c r="T7" s="38">
        <f>O7+P7+Q7+R7+S7</f>
        <v>2.4199999999999998E-3</v>
      </c>
      <c r="U7" s="37">
        <v>6.0499999999999996E-4</v>
      </c>
      <c r="V7" s="37">
        <v>6.0499999999999996E-4</v>
      </c>
      <c r="W7" s="37">
        <v>6.0499999999999996E-4</v>
      </c>
      <c r="X7" s="37">
        <v>6.0499999999999996E-4</v>
      </c>
      <c r="Y7" s="37"/>
      <c r="Z7" s="38">
        <f>U7+V7+W7+X7+Y7</f>
        <v>2.4199999999999998E-3</v>
      </c>
      <c r="AA7" s="37">
        <f>U7+O7+I7</f>
        <v>1.8149999999999998E-3</v>
      </c>
      <c r="AB7" s="37">
        <f>V7+P7+J7</f>
        <v>1.8149999999999998E-3</v>
      </c>
      <c r="AC7" s="37">
        <f>W7+Q7+K7</f>
        <v>1.8149999999999998E-3</v>
      </c>
      <c r="AD7" s="37">
        <f>X7+R7+L7</f>
        <v>1.8149999999999998E-3</v>
      </c>
      <c r="AE7" s="37">
        <f>Y7+S7+M7</f>
        <v>0</v>
      </c>
      <c r="AF7" s="39">
        <f>AA7+AB7+AC7+AD7+AE7</f>
        <v>7.2599999999999991E-3</v>
      </c>
      <c r="AG7" s="40"/>
    </row>
    <row r="8" spans="1:33" ht="25.5" x14ac:dyDescent="0.25">
      <c r="A8" s="14"/>
      <c r="B8" s="33" t="s">
        <v>55</v>
      </c>
      <c r="C8" s="33"/>
      <c r="D8" s="33" t="s">
        <v>54</v>
      </c>
      <c r="E8" s="34">
        <v>1.1127899999999999</v>
      </c>
      <c r="F8" s="35">
        <v>1.1127899999999999</v>
      </c>
      <c r="G8" s="35">
        <v>1.1127899999999999</v>
      </c>
      <c r="H8" s="36">
        <f t="shared" ref="H8:H23" si="0">E8+F8+G8</f>
        <v>3.3383699999999998</v>
      </c>
      <c r="I8" s="37">
        <f>0.16304+0.08152+0.0101795</f>
        <v>0.25473950000000001</v>
      </c>
      <c r="J8" s="37">
        <f>0.08152+0.16304+0.0101795</f>
        <v>0.25473950000000001</v>
      </c>
      <c r="K8" s="37">
        <f>0.24456+0.0101795</f>
        <v>0.25473950000000001</v>
      </c>
      <c r="L8" s="37">
        <f>0.16304+0.08322+0.0101795</f>
        <v>0.25643949999999999</v>
      </c>
      <c r="M8" s="37">
        <f>0.08322+0.00645</f>
        <v>8.967E-2</v>
      </c>
      <c r="N8" s="38">
        <f t="shared" ref="N8:N23" si="1">I8+J8+K8+L8+M8</f>
        <v>1.110328</v>
      </c>
      <c r="O8" s="37">
        <f>0.16304+0.08152+0.0101795</f>
        <v>0.25473950000000001</v>
      </c>
      <c r="P8" s="37">
        <f>0.08152+0.16304+0.0101795</f>
        <v>0.25473950000000001</v>
      </c>
      <c r="Q8" s="37">
        <f>0.24456+0.0101795</f>
        <v>0.25473950000000001</v>
      </c>
      <c r="R8" s="37">
        <f>0.16304+0.08322+0.0101795</f>
        <v>0.25643949999999999</v>
      </c>
      <c r="S8" s="37">
        <f>0.08322+0.00645</f>
        <v>8.967E-2</v>
      </c>
      <c r="T8" s="38">
        <f t="shared" ref="T8:T20" si="2">O8+P8+Q8+R8+S8</f>
        <v>1.110328</v>
      </c>
      <c r="U8" s="37">
        <f>0.16304+0.08152+0.0101795</f>
        <v>0.25473950000000001</v>
      </c>
      <c r="V8" s="37">
        <f>0.08152+0.16304+0.0101795</f>
        <v>0.25473950000000001</v>
      </c>
      <c r="W8" s="37">
        <f>0.24456+0.0101795</f>
        <v>0.25473950000000001</v>
      </c>
      <c r="X8" s="37">
        <f>0.16304+0.08322+0.0101795</f>
        <v>0.25643949999999999</v>
      </c>
      <c r="Y8" s="37">
        <f>0.08322+0.00645</f>
        <v>8.967E-2</v>
      </c>
      <c r="Z8" s="38">
        <f t="shared" ref="Z8:Z20" si="3">U8+V8+W8+X8+Y8</f>
        <v>1.110328</v>
      </c>
      <c r="AA8" s="37">
        <f t="shared" ref="AA8:AE23" si="4">U8+O8+I8</f>
        <v>0.76421850000000002</v>
      </c>
      <c r="AB8" s="37">
        <f t="shared" si="4"/>
        <v>0.76421850000000002</v>
      </c>
      <c r="AC8" s="37">
        <f t="shared" si="4"/>
        <v>0.76421850000000002</v>
      </c>
      <c r="AD8" s="37">
        <f t="shared" si="4"/>
        <v>0.76931850000000002</v>
      </c>
      <c r="AE8" s="37">
        <f t="shared" si="4"/>
        <v>0.26900999999999997</v>
      </c>
      <c r="AF8" s="39">
        <f t="shared" ref="AF8:AF20" si="5">AA8+AB8+AC8+AD8+AE8</f>
        <v>3.3309839999999999</v>
      </c>
      <c r="AG8" s="40"/>
    </row>
    <row r="9" spans="1:33" ht="33.75" customHeight="1" x14ac:dyDescent="0.25">
      <c r="A9" s="14"/>
      <c r="B9" s="33" t="s">
        <v>56</v>
      </c>
      <c r="C9" s="33"/>
      <c r="D9" s="33" t="s">
        <v>54</v>
      </c>
      <c r="E9" s="34">
        <v>11.64348</v>
      </c>
      <c r="F9" s="35">
        <v>11.64348</v>
      </c>
      <c r="G9" s="35">
        <v>11.64348</v>
      </c>
      <c r="H9" s="36">
        <f t="shared" si="0"/>
        <v>34.930440000000004</v>
      </c>
      <c r="I9" s="37">
        <f>1.6126+0.95601+0.001233+1.6011881</f>
        <v>4.1710311000000004</v>
      </c>
      <c r="J9" s="37">
        <f>0.95601+1.57354+0.001233</f>
        <v>2.530783</v>
      </c>
      <c r="K9" s="37">
        <f>2.706+0.001233</f>
        <v>2.707233</v>
      </c>
      <c r="L9" s="37">
        <f>1.804+0.0889935+0.001233</f>
        <v>1.8942265</v>
      </c>
      <c r="M9" s="37">
        <f>0.0889935+0.25052</f>
        <v>0.33951350000000002</v>
      </c>
      <c r="N9" s="38">
        <f t="shared" si="1"/>
        <v>11.642787100000001</v>
      </c>
      <c r="O9" s="37">
        <f>1.6126+0.95601+0.001233+1.6011881</f>
        <v>4.1710311000000004</v>
      </c>
      <c r="P9" s="37">
        <f>0.95601+1.57354+0.001233</f>
        <v>2.530783</v>
      </c>
      <c r="Q9" s="37">
        <f>2.706+0.001233</f>
        <v>2.707233</v>
      </c>
      <c r="R9" s="37">
        <f>1.804+0.0889935+0.001233</f>
        <v>1.8942265</v>
      </c>
      <c r="S9" s="37">
        <f>0.0889935+0.25052</f>
        <v>0.33951350000000002</v>
      </c>
      <c r="T9" s="38">
        <f t="shared" si="2"/>
        <v>11.642787100000001</v>
      </c>
      <c r="U9" s="37">
        <f>1.6126+0.95601+0.001233+1.6011881</f>
        <v>4.1710311000000004</v>
      </c>
      <c r="V9" s="37">
        <f>0.95601+1.57354+0.001233</f>
        <v>2.530783</v>
      </c>
      <c r="W9" s="37">
        <f>2.706+0.001233</f>
        <v>2.707233</v>
      </c>
      <c r="X9" s="37">
        <f>1.804+0.0889935+0.001233</f>
        <v>1.8942265</v>
      </c>
      <c r="Y9" s="37">
        <f>0.0889935+0.25052</f>
        <v>0.33951350000000002</v>
      </c>
      <c r="Z9" s="38">
        <f t="shared" si="3"/>
        <v>11.642787100000001</v>
      </c>
      <c r="AA9" s="37">
        <f t="shared" si="4"/>
        <v>12.513093300000001</v>
      </c>
      <c r="AB9" s="37">
        <f t="shared" si="4"/>
        <v>7.5923490000000005</v>
      </c>
      <c r="AC9" s="37">
        <f t="shared" si="4"/>
        <v>8.1216989999999996</v>
      </c>
      <c r="AD9" s="37">
        <f t="shared" si="4"/>
        <v>5.6826794999999999</v>
      </c>
      <c r="AE9" s="37">
        <f t="shared" si="4"/>
        <v>1.0185405000000001</v>
      </c>
      <c r="AF9" s="39">
        <f t="shared" si="5"/>
        <v>34.928361299999999</v>
      </c>
      <c r="AG9" s="40"/>
    </row>
    <row r="10" spans="1:33" ht="31.5" customHeight="1" x14ac:dyDescent="0.25">
      <c r="A10" s="14"/>
      <c r="B10" s="33" t="s">
        <v>57</v>
      </c>
      <c r="C10" s="33"/>
      <c r="D10" s="33" t="s">
        <v>54</v>
      </c>
      <c r="E10" s="34">
        <v>28.017910000000001</v>
      </c>
      <c r="F10" s="35">
        <v>28.017910000000001</v>
      </c>
      <c r="G10" s="35">
        <v>28.017910000000001</v>
      </c>
      <c r="H10" s="36">
        <f t="shared" si="0"/>
        <v>84.053730000000002</v>
      </c>
      <c r="I10" s="37"/>
      <c r="J10" s="37">
        <f>3.34874</f>
        <v>3.3487399999999998</v>
      </c>
      <c r="K10" s="37">
        <v>10.77225</v>
      </c>
      <c r="L10" s="37">
        <f>7.1815+3.01773</f>
        <v>10.19923</v>
      </c>
      <c r="M10" s="37">
        <f>3.01773+0.67996</f>
        <v>3.6976899999999997</v>
      </c>
      <c r="N10" s="38">
        <f t="shared" si="1"/>
        <v>28.017910000000001</v>
      </c>
      <c r="O10" s="37"/>
      <c r="P10" s="37">
        <f>3.34874</f>
        <v>3.3487399999999998</v>
      </c>
      <c r="Q10" s="37">
        <v>10.77225</v>
      </c>
      <c r="R10" s="37">
        <f>7.1815+3.01773</f>
        <v>10.19923</v>
      </c>
      <c r="S10" s="37">
        <f>3.01773+0.67996</f>
        <v>3.6976899999999997</v>
      </c>
      <c r="T10" s="38">
        <f t="shared" si="2"/>
        <v>28.017910000000001</v>
      </c>
      <c r="U10" s="37"/>
      <c r="V10" s="37">
        <f>3.34874</f>
        <v>3.3487399999999998</v>
      </c>
      <c r="W10" s="37">
        <v>10.77225</v>
      </c>
      <c r="X10" s="37">
        <f>7.1815+3.01773</f>
        <v>10.19923</v>
      </c>
      <c r="Y10" s="37">
        <f>3.01773+0.67996</f>
        <v>3.6976899999999997</v>
      </c>
      <c r="Z10" s="38">
        <f t="shared" si="3"/>
        <v>28.017910000000001</v>
      </c>
      <c r="AA10" s="37">
        <f t="shared" si="4"/>
        <v>0</v>
      </c>
      <c r="AB10" s="37">
        <f t="shared" si="4"/>
        <v>10.04622</v>
      </c>
      <c r="AC10" s="37">
        <f t="shared" si="4"/>
        <v>32.316749999999999</v>
      </c>
      <c r="AD10" s="37">
        <f t="shared" si="4"/>
        <v>30.59769</v>
      </c>
      <c r="AE10" s="37">
        <f t="shared" si="4"/>
        <v>11.093069999999999</v>
      </c>
      <c r="AF10" s="39">
        <f t="shared" si="5"/>
        <v>84.053729999999987</v>
      </c>
      <c r="AG10" s="40"/>
    </row>
    <row r="11" spans="1:33" ht="30" customHeight="1" x14ac:dyDescent="0.25">
      <c r="A11" s="14"/>
      <c r="B11" s="33" t="s">
        <v>4</v>
      </c>
      <c r="C11" s="33"/>
      <c r="D11" s="33" t="s">
        <v>54</v>
      </c>
      <c r="E11" s="34">
        <v>243.88200000000001</v>
      </c>
      <c r="F11" s="35">
        <v>243.88200000000001</v>
      </c>
      <c r="G11" s="35">
        <v>243.88200000000001</v>
      </c>
      <c r="H11" s="36">
        <f t="shared" si="0"/>
        <v>731.64599999999996</v>
      </c>
      <c r="I11" s="37">
        <f>36.75506+18.4071+0.14157</f>
        <v>55.303730000000002</v>
      </c>
      <c r="J11" s="37">
        <f>18.4071+39.07432+0.14157</f>
        <v>57.622990000000001</v>
      </c>
      <c r="K11" s="37">
        <f>52.80729+0.14157</f>
        <v>52.948860000000003</v>
      </c>
      <c r="L11" s="37">
        <f>35.20486+19.823745+0.14157</f>
        <v>55.170175</v>
      </c>
      <c r="M11" s="37">
        <f>19.823745+3.01251</f>
        <v>22.836254999999998</v>
      </c>
      <c r="N11" s="38">
        <f t="shared" si="1"/>
        <v>243.88201000000001</v>
      </c>
      <c r="O11" s="37">
        <f>36.75506+18.4071+0.14157</f>
        <v>55.303730000000002</v>
      </c>
      <c r="P11" s="37">
        <f>18.4071+39.07432+0.14157</f>
        <v>57.622990000000001</v>
      </c>
      <c r="Q11" s="37">
        <f>52.80729+0.14157</f>
        <v>52.948860000000003</v>
      </c>
      <c r="R11" s="37">
        <f>35.20486+19.823745+0.14157</f>
        <v>55.170175</v>
      </c>
      <c r="S11" s="37">
        <f>19.823745+3.01251</f>
        <v>22.836254999999998</v>
      </c>
      <c r="T11" s="38">
        <f t="shared" si="2"/>
        <v>243.88201000000001</v>
      </c>
      <c r="U11" s="37">
        <f>36.75506+18.4071+0.14157</f>
        <v>55.303730000000002</v>
      </c>
      <c r="V11" s="37">
        <f>18.4071+39.07432+0.14157</f>
        <v>57.622990000000001</v>
      </c>
      <c r="W11" s="37">
        <f>52.80729+0.14157</f>
        <v>52.948860000000003</v>
      </c>
      <c r="X11" s="37">
        <f>35.20486+19.823745+0.14157</f>
        <v>55.170175</v>
      </c>
      <c r="Y11" s="37">
        <f>19.823745+3.01251</f>
        <v>22.836254999999998</v>
      </c>
      <c r="Z11" s="38">
        <f t="shared" si="3"/>
        <v>243.88201000000001</v>
      </c>
      <c r="AA11" s="37">
        <f t="shared" si="4"/>
        <v>165.91119</v>
      </c>
      <c r="AB11" s="37">
        <f t="shared" si="4"/>
        <v>172.86896999999999</v>
      </c>
      <c r="AC11" s="37">
        <f t="shared" si="4"/>
        <v>158.84658000000002</v>
      </c>
      <c r="AD11" s="37">
        <f t="shared" si="4"/>
        <v>165.510525</v>
      </c>
      <c r="AE11" s="37">
        <f t="shared" si="4"/>
        <v>68.508764999999997</v>
      </c>
      <c r="AF11" s="39">
        <f t="shared" si="5"/>
        <v>731.64603000000011</v>
      </c>
      <c r="AG11" s="40"/>
    </row>
    <row r="12" spans="1:33" ht="33" customHeight="1" x14ac:dyDescent="0.25">
      <c r="A12" s="14"/>
      <c r="B12" s="33" t="s">
        <v>58</v>
      </c>
      <c r="C12" s="33"/>
      <c r="D12" s="33" t="s">
        <v>54</v>
      </c>
      <c r="E12" s="34">
        <v>32.643560000000001</v>
      </c>
      <c r="F12" s="35">
        <v>32.643560000000001</v>
      </c>
      <c r="G12" s="35">
        <v>32.643560000000001</v>
      </c>
      <c r="H12" s="36">
        <f t="shared" si="0"/>
        <v>97.930679999999995</v>
      </c>
      <c r="I12" s="37">
        <f>8.92344+7.12977</f>
        <v>16.05321</v>
      </c>
      <c r="J12" s="37">
        <f>7.12977+3.82726</f>
        <v>10.95703</v>
      </c>
      <c r="K12" s="37">
        <v>2.6354700000000002</v>
      </c>
      <c r="L12" s="37">
        <f>1.75698+0.61337</f>
        <v>2.3703500000000002</v>
      </c>
      <c r="M12" s="37">
        <f>0.61337+0.01413</f>
        <v>0.62749999999999995</v>
      </c>
      <c r="N12" s="38">
        <f t="shared" si="1"/>
        <v>32.643560000000001</v>
      </c>
      <c r="O12" s="37">
        <f>8.92344+7.12977</f>
        <v>16.05321</v>
      </c>
      <c r="P12" s="37">
        <f>7.12977+3.82726</f>
        <v>10.95703</v>
      </c>
      <c r="Q12" s="37">
        <v>2.6354700000000002</v>
      </c>
      <c r="R12" s="37">
        <f>1.75698+0.61337</f>
        <v>2.3703500000000002</v>
      </c>
      <c r="S12" s="37">
        <f>0.61337+0.01413</f>
        <v>0.62749999999999995</v>
      </c>
      <c r="T12" s="38">
        <f t="shared" si="2"/>
        <v>32.643560000000001</v>
      </c>
      <c r="U12" s="37">
        <f>8.92344+7.12977</f>
        <v>16.05321</v>
      </c>
      <c r="V12" s="37">
        <f>7.12977+3.82726</f>
        <v>10.95703</v>
      </c>
      <c r="W12" s="37">
        <v>2.6354700000000002</v>
      </c>
      <c r="X12" s="37">
        <f>1.75698+0.61337</f>
        <v>2.3703500000000002</v>
      </c>
      <c r="Y12" s="37">
        <f>0.61337+0.01413</f>
        <v>0.62749999999999995</v>
      </c>
      <c r="Z12" s="38">
        <f t="shared" si="3"/>
        <v>32.643560000000001</v>
      </c>
      <c r="AA12" s="37">
        <f t="shared" si="4"/>
        <v>48.15963</v>
      </c>
      <c r="AB12" s="37">
        <f t="shared" si="4"/>
        <v>32.871089999999995</v>
      </c>
      <c r="AC12" s="37">
        <f t="shared" si="4"/>
        <v>7.906410000000001</v>
      </c>
      <c r="AD12" s="37">
        <f t="shared" si="4"/>
        <v>7.1110500000000005</v>
      </c>
      <c r="AE12" s="37">
        <f t="shared" si="4"/>
        <v>1.8824999999999998</v>
      </c>
      <c r="AF12" s="39">
        <f t="shared" si="5"/>
        <v>97.930679999999995</v>
      </c>
      <c r="AG12" s="40"/>
    </row>
    <row r="13" spans="1:33" ht="30.75" customHeight="1" x14ac:dyDescent="0.25">
      <c r="A13" s="14"/>
      <c r="B13" s="33" t="s">
        <v>59</v>
      </c>
      <c r="C13" s="33"/>
      <c r="D13" s="33" t="s">
        <v>54</v>
      </c>
      <c r="E13" s="34">
        <v>2.01214</v>
      </c>
      <c r="F13" s="35">
        <v>2.01214</v>
      </c>
      <c r="G13" s="35">
        <v>2.01214</v>
      </c>
      <c r="H13" s="36">
        <f t="shared" si="0"/>
        <v>6.0364199999999997</v>
      </c>
      <c r="I13" s="37"/>
      <c r="J13" s="37"/>
      <c r="K13" s="37"/>
      <c r="L13" s="37">
        <f>1.00607</f>
        <v>1.00607</v>
      </c>
      <c r="M13" s="37">
        <f>1.00607</f>
        <v>1.00607</v>
      </c>
      <c r="N13" s="38">
        <f t="shared" si="1"/>
        <v>2.01214</v>
      </c>
      <c r="O13" s="37"/>
      <c r="P13" s="37"/>
      <c r="Q13" s="37"/>
      <c r="R13" s="37">
        <f>1.00607</f>
        <v>1.00607</v>
      </c>
      <c r="S13" s="37">
        <f>1.00607</f>
        <v>1.00607</v>
      </c>
      <c r="T13" s="38">
        <f t="shared" si="2"/>
        <v>2.01214</v>
      </c>
      <c r="U13" s="37"/>
      <c r="V13" s="37"/>
      <c r="W13" s="37"/>
      <c r="X13" s="37">
        <f>1.00607</f>
        <v>1.00607</v>
      </c>
      <c r="Y13" s="37">
        <f>1.00607</f>
        <v>1.00607</v>
      </c>
      <c r="Z13" s="38">
        <f t="shared" si="3"/>
        <v>2.01214</v>
      </c>
      <c r="AA13" s="37">
        <f t="shared" si="4"/>
        <v>0</v>
      </c>
      <c r="AB13" s="37">
        <f t="shared" si="4"/>
        <v>0</v>
      </c>
      <c r="AC13" s="37">
        <f t="shared" si="4"/>
        <v>0</v>
      </c>
      <c r="AD13" s="37">
        <f t="shared" si="4"/>
        <v>3.0182099999999998</v>
      </c>
      <c r="AE13" s="37">
        <f t="shared" si="4"/>
        <v>3.0182099999999998</v>
      </c>
      <c r="AF13" s="39">
        <f t="shared" si="5"/>
        <v>6.0364199999999997</v>
      </c>
      <c r="AG13" s="40"/>
    </row>
    <row r="14" spans="1:33" ht="33" customHeight="1" x14ac:dyDescent="0.25">
      <c r="A14" s="14"/>
      <c r="B14" s="33" t="s">
        <v>60</v>
      </c>
      <c r="C14" s="33"/>
      <c r="D14" s="33" t="s">
        <v>54</v>
      </c>
      <c r="E14" s="34">
        <v>9.9652200000000004</v>
      </c>
      <c r="F14" s="35">
        <v>9.9652200000000004</v>
      </c>
      <c r="G14" s="35">
        <v>9.9652200000000004</v>
      </c>
      <c r="H14" s="36">
        <f t="shared" si="0"/>
        <v>29.895659999999999</v>
      </c>
      <c r="I14" s="37">
        <v>9.9652200000000004</v>
      </c>
      <c r="J14" s="37"/>
      <c r="K14" s="37"/>
      <c r="L14" s="37"/>
      <c r="M14" s="37"/>
      <c r="N14" s="38">
        <f t="shared" si="1"/>
        <v>9.9652200000000004</v>
      </c>
      <c r="O14" s="37">
        <v>9.9652200000000004</v>
      </c>
      <c r="P14" s="37"/>
      <c r="Q14" s="37"/>
      <c r="R14" s="37"/>
      <c r="S14" s="37"/>
      <c r="T14" s="38">
        <f t="shared" si="2"/>
        <v>9.9652200000000004</v>
      </c>
      <c r="U14" s="37">
        <v>9.9652200000000004</v>
      </c>
      <c r="V14" s="37"/>
      <c r="W14" s="37"/>
      <c r="X14" s="37"/>
      <c r="Y14" s="37"/>
      <c r="Z14" s="38">
        <f t="shared" si="3"/>
        <v>9.9652200000000004</v>
      </c>
      <c r="AA14" s="37">
        <f t="shared" si="4"/>
        <v>29.895659999999999</v>
      </c>
      <c r="AB14" s="37">
        <f t="shared" si="4"/>
        <v>0</v>
      </c>
      <c r="AC14" s="37">
        <f t="shared" si="4"/>
        <v>0</v>
      </c>
      <c r="AD14" s="37">
        <f t="shared" si="4"/>
        <v>0</v>
      </c>
      <c r="AE14" s="37">
        <f t="shared" si="4"/>
        <v>0</v>
      </c>
      <c r="AF14" s="39">
        <f t="shared" si="5"/>
        <v>29.895659999999999</v>
      </c>
      <c r="AG14" s="40"/>
    </row>
    <row r="15" spans="1:33" ht="33" customHeight="1" x14ac:dyDescent="0.25">
      <c r="A15" s="14"/>
      <c r="B15" s="33" t="s">
        <v>61</v>
      </c>
      <c r="C15" s="33"/>
      <c r="D15" s="33" t="s">
        <v>54</v>
      </c>
      <c r="E15" s="34">
        <v>3.7100000000000002E-3</v>
      </c>
      <c r="F15" s="35">
        <v>3.7100000000000002E-3</v>
      </c>
      <c r="G15" s="35">
        <v>3.7100000000000002E-3</v>
      </c>
      <c r="H15" s="36">
        <f t="shared" si="0"/>
        <v>1.1130000000000001E-2</v>
      </c>
      <c r="I15" s="37">
        <v>9.2800000000000001E-4</v>
      </c>
      <c r="J15" s="37">
        <v>9.2800000000000001E-4</v>
      </c>
      <c r="K15" s="37">
        <v>9.2800000000000001E-4</v>
      </c>
      <c r="L15" s="37">
        <v>9.2800000000000001E-4</v>
      </c>
      <c r="M15" s="37"/>
      <c r="N15" s="38">
        <f t="shared" si="1"/>
        <v>3.712E-3</v>
      </c>
      <c r="O15" s="37">
        <v>9.2800000000000001E-4</v>
      </c>
      <c r="P15" s="37">
        <v>9.2800000000000001E-4</v>
      </c>
      <c r="Q15" s="37">
        <v>9.2800000000000001E-4</v>
      </c>
      <c r="R15" s="37">
        <v>9.2800000000000001E-4</v>
      </c>
      <c r="S15" s="37"/>
      <c r="T15" s="38">
        <f t="shared" si="2"/>
        <v>3.712E-3</v>
      </c>
      <c r="U15" s="37">
        <v>9.2800000000000001E-4</v>
      </c>
      <c r="V15" s="37">
        <v>9.2800000000000001E-4</v>
      </c>
      <c r="W15" s="37">
        <v>9.2800000000000001E-4</v>
      </c>
      <c r="X15" s="37">
        <v>9.2800000000000001E-4</v>
      </c>
      <c r="Y15" s="37"/>
      <c r="Z15" s="38">
        <f t="shared" si="3"/>
        <v>3.712E-3</v>
      </c>
      <c r="AA15" s="37">
        <f t="shared" si="4"/>
        <v>2.784E-3</v>
      </c>
      <c r="AB15" s="37">
        <f t="shared" si="4"/>
        <v>2.784E-3</v>
      </c>
      <c r="AC15" s="37">
        <f t="shared" si="4"/>
        <v>2.784E-3</v>
      </c>
      <c r="AD15" s="37">
        <f t="shared" si="4"/>
        <v>2.784E-3</v>
      </c>
      <c r="AE15" s="37">
        <f t="shared" si="4"/>
        <v>0</v>
      </c>
      <c r="AF15" s="39">
        <f t="shared" si="5"/>
        <v>1.1136E-2</v>
      </c>
      <c r="AG15" s="40"/>
    </row>
    <row r="16" spans="1:33" ht="33" customHeight="1" x14ac:dyDescent="0.25">
      <c r="A16" s="14"/>
      <c r="B16" s="41" t="s">
        <v>62</v>
      </c>
      <c r="C16" s="33"/>
      <c r="D16" s="33" t="s">
        <v>54</v>
      </c>
      <c r="E16" s="34">
        <v>1.6999999999999999E-3</v>
      </c>
      <c r="F16" s="35">
        <v>1.6999999999999999E-3</v>
      </c>
      <c r="G16" s="35">
        <v>1.6999999999999999E-3</v>
      </c>
      <c r="H16" s="36">
        <f t="shared" si="0"/>
        <v>5.0999999999999995E-3</v>
      </c>
      <c r="I16" s="37">
        <v>4.2499999999999998E-4</v>
      </c>
      <c r="J16" s="37">
        <v>4.2499999999999998E-4</v>
      </c>
      <c r="K16" s="37">
        <v>4.2499999999999998E-4</v>
      </c>
      <c r="L16" s="37">
        <v>4.2499999999999998E-4</v>
      </c>
      <c r="M16" s="37"/>
      <c r="N16" s="38">
        <f t="shared" si="1"/>
        <v>1.6999999999999999E-3</v>
      </c>
      <c r="O16" s="37">
        <v>4.2499999999999998E-4</v>
      </c>
      <c r="P16" s="37">
        <v>4.2499999999999998E-4</v>
      </c>
      <c r="Q16" s="37">
        <v>4.2499999999999998E-4</v>
      </c>
      <c r="R16" s="37">
        <v>4.2499999999999998E-4</v>
      </c>
      <c r="S16" s="37"/>
      <c r="T16" s="38">
        <f t="shared" si="2"/>
        <v>1.6999999999999999E-3</v>
      </c>
      <c r="U16" s="37">
        <v>4.2499999999999998E-4</v>
      </c>
      <c r="V16" s="37">
        <v>4.2499999999999998E-4</v>
      </c>
      <c r="W16" s="37">
        <v>4.2499999999999998E-4</v>
      </c>
      <c r="X16" s="37">
        <v>4.2499999999999998E-4</v>
      </c>
      <c r="Y16" s="37"/>
      <c r="Z16" s="38">
        <f t="shared" si="3"/>
        <v>1.6999999999999999E-3</v>
      </c>
      <c r="AA16" s="37">
        <f t="shared" si="4"/>
        <v>1.2749999999999999E-3</v>
      </c>
      <c r="AB16" s="37">
        <f t="shared" si="4"/>
        <v>1.2749999999999999E-3</v>
      </c>
      <c r="AC16" s="37">
        <f t="shared" si="4"/>
        <v>1.2749999999999999E-3</v>
      </c>
      <c r="AD16" s="37">
        <f t="shared" si="4"/>
        <v>1.2749999999999999E-3</v>
      </c>
      <c r="AE16" s="37">
        <f t="shared" si="4"/>
        <v>0</v>
      </c>
      <c r="AF16" s="39">
        <f t="shared" si="5"/>
        <v>5.0999999999999995E-3</v>
      </c>
      <c r="AG16" s="40"/>
    </row>
    <row r="17" spans="1:33" ht="33" customHeight="1" x14ac:dyDescent="0.25">
      <c r="A17" s="14"/>
      <c r="B17" s="41" t="s">
        <v>63</v>
      </c>
      <c r="C17" s="33"/>
      <c r="D17" s="33" t="s">
        <v>54</v>
      </c>
      <c r="E17" s="34">
        <v>1.196E-2</v>
      </c>
      <c r="F17" s="35">
        <v>1.196E-2</v>
      </c>
      <c r="G17" s="35">
        <v>1.196E-2</v>
      </c>
      <c r="H17" s="36">
        <f t="shared" si="0"/>
        <v>3.5880000000000002E-2</v>
      </c>
      <c r="I17" s="37"/>
      <c r="J17" s="37"/>
      <c r="K17" s="37"/>
      <c r="L17" s="37"/>
      <c r="M17" s="37">
        <f>0.00598+0.00598</f>
        <v>1.196E-2</v>
      </c>
      <c r="N17" s="38">
        <f t="shared" si="1"/>
        <v>1.196E-2</v>
      </c>
      <c r="O17" s="37"/>
      <c r="P17" s="37"/>
      <c r="Q17" s="37"/>
      <c r="R17" s="37"/>
      <c r="S17" s="37">
        <f>0.00598+0.00598</f>
        <v>1.196E-2</v>
      </c>
      <c r="T17" s="38">
        <f t="shared" si="2"/>
        <v>1.196E-2</v>
      </c>
      <c r="U17" s="37"/>
      <c r="V17" s="37"/>
      <c r="W17" s="37"/>
      <c r="X17" s="37"/>
      <c r="Y17" s="37">
        <f>0.00598+0.00598</f>
        <v>1.196E-2</v>
      </c>
      <c r="Z17" s="38">
        <f t="shared" si="3"/>
        <v>1.196E-2</v>
      </c>
      <c r="AA17" s="37">
        <f t="shared" si="4"/>
        <v>0</v>
      </c>
      <c r="AB17" s="37">
        <f t="shared" si="4"/>
        <v>0</v>
      </c>
      <c r="AC17" s="37">
        <f t="shared" si="4"/>
        <v>0</v>
      </c>
      <c r="AD17" s="37">
        <f t="shared" si="4"/>
        <v>0</v>
      </c>
      <c r="AE17" s="37">
        <f t="shared" si="4"/>
        <v>3.5880000000000002E-2</v>
      </c>
      <c r="AF17" s="39">
        <f t="shared" si="5"/>
        <v>3.5880000000000002E-2</v>
      </c>
      <c r="AG17" s="40"/>
    </row>
    <row r="18" spans="1:33" ht="33" customHeight="1" x14ac:dyDescent="0.25">
      <c r="A18" s="14"/>
      <c r="B18" s="41" t="s">
        <v>64</v>
      </c>
      <c r="C18" s="33"/>
      <c r="D18" s="33" t="s">
        <v>54</v>
      </c>
      <c r="E18" s="34">
        <v>8.4799999999999997E-3</v>
      </c>
      <c r="F18" s="35">
        <v>8.4799999999999997E-3</v>
      </c>
      <c r="G18" s="35">
        <v>8.4799999999999997E-3</v>
      </c>
      <c r="H18" s="36">
        <f>E18+F18+G18</f>
        <v>2.5439999999999997E-2</v>
      </c>
      <c r="I18" s="37"/>
      <c r="J18" s="37"/>
      <c r="K18" s="37"/>
      <c r="L18" s="37">
        <v>4.2399999999999998E-3</v>
      </c>
      <c r="M18" s="37">
        <f>0.00424</f>
        <v>4.2399999999999998E-3</v>
      </c>
      <c r="N18" s="38">
        <f t="shared" si="1"/>
        <v>8.4799999999999997E-3</v>
      </c>
      <c r="O18" s="37"/>
      <c r="P18" s="37"/>
      <c r="Q18" s="37"/>
      <c r="R18" s="37">
        <v>4.2399999999999998E-3</v>
      </c>
      <c r="S18" s="37">
        <f>0.00424</f>
        <v>4.2399999999999998E-3</v>
      </c>
      <c r="T18" s="38">
        <f t="shared" si="2"/>
        <v>8.4799999999999997E-3</v>
      </c>
      <c r="U18" s="37"/>
      <c r="V18" s="37"/>
      <c r="W18" s="37"/>
      <c r="X18" s="37">
        <v>4.2399999999999998E-3</v>
      </c>
      <c r="Y18" s="37">
        <f>0.00424</f>
        <v>4.2399999999999998E-3</v>
      </c>
      <c r="Z18" s="38">
        <f t="shared" si="3"/>
        <v>8.4799999999999997E-3</v>
      </c>
      <c r="AA18" s="37">
        <f t="shared" si="4"/>
        <v>0</v>
      </c>
      <c r="AB18" s="37">
        <f t="shared" si="4"/>
        <v>0</v>
      </c>
      <c r="AC18" s="37">
        <f t="shared" si="4"/>
        <v>0</v>
      </c>
      <c r="AD18" s="37">
        <f t="shared" si="4"/>
        <v>1.2719999999999999E-2</v>
      </c>
      <c r="AE18" s="37">
        <f t="shared" si="4"/>
        <v>1.2719999999999999E-2</v>
      </c>
      <c r="AF18" s="39">
        <f t="shared" si="5"/>
        <v>2.5439999999999997E-2</v>
      </c>
      <c r="AG18" s="40"/>
    </row>
    <row r="19" spans="1:33" ht="33" customHeight="1" x14ac:dyDescent="0.25">
      <c r="A19" s="14"/>
      <c r="B19" s="41" t="s">
        <v>65</v>
      </c>
      <c r="C19" s="33"/>
      <c r="D19" s="33" t="s">
        <v>54</v>
      </c>
      <c r="E19" s="34">
        <v>0.22933999999999999</v>
      </c>
      <c r="F19" s="35">
        <v>0.22933999999999999</v>
      </c>
      <c r="G19" s="35">
        <v>0.22933999999999999</v>
      </c>
      <c r="H19" s="36">
        <f t="shared" si="0"/>
        <v>0.68801999999999996</v>
      </c>
      <c r="I19" s="37">
        <f>0.03876+0.01938</f>
        <v>5.8140000000000004E-2</v>
      </c>
      <c r="J19" s="37">
        <f>0.01938+0.03876</f>
        <v>5.8140000000000004E-2</v>
      </c>
      <c r="K19" s="37">
        <v>5.8139999999999997E-2</v>
      </c>
      <c r="L19" s="37">
        <f>0.03876+0.00808</f>
        <v>4.6840000000000007E-2</v>
      </c>
      <c r="M19" s="37">
        <f>0.00808</f>
        <v>8.0800000000000004E-3</v>
      </c>
      <c r="N19" s="38">
        <f t="shared" si="1"/>
        <v>0.22934000000000002</v>
      </c>
      <c r="O19" s="37">
        <f>0.03876+0.01938</f>
        <v>5.8140000000000004E-2</v>
      </c>
      <c r="P19" s="37">
        <f>0.01938+0.03876</f>
        <v>5.8140000000000004E-2</v>
      </c>
      <c r="Q19" s="37">
        <v>5.8139999999999997E-2</v>
      </c>
      <c r="R19" s="37">
        <f>0.03876+0.00808</f>
        <v>4.6840000000000007E-2</v>
      </c>
      <c r="S19" s="37">
        <f>0.00808</f>
        <v>8.0800000000000004E-3</v>
      </c>
      <c r="T19" s="38">
        <f t="shared" si="2"/>
        <v>0.22934000000000002</v>
      </c>
      <c r="U19" s="37">
        <f>0.03876+0.01938</f>
        <v>5.8140000000000004E-2</v>
      </c>
      <c r="V19" s="37">
        <f>0.01938+0.03876</f>
        <v>5.8140000000000004E-2</v>
      </c>
      <c r="W19" s="37">
        <v>5.8139999999999997E-2</v>
      </c>
      <c r="X19" s="37">
        <f>0.03876+0.00808</f>
        <v>4.6840000000000007E-2</v>
      </c>
      <c r="Y19" s="37">
        <f>0.00808</f>
        <v>8.0800000000000004E-3</v>
      </c>
      <c r="Z19" s="38">
        <f t="shared" si="3"/>
        <v>0.22934000000000002</v>
      </c>
      <c r="AA19" s="37">
        <f t="shared" si="4"/>
        <v>0.17442000000000002</v>
      </c>
      <c r="AB19" s="37">
        <f t="shared" si="4"/>
        <v>0.17442000000000002</v>
      </c>
      <c r="AC19" s="37">
        <f t="shared" si="4"/>
        <v>0.17441999999999999</v>
      </c>
      <c r="AD19" s="37">
        <f t="shared" si="4"/>
        <v>0.14052000000000003</v>
      </c>
      <c r="AE19" s="37">
        <f t="shared" si="4"/>
        <v>2.4240000000000001E-2</v>
      </c>
      <c r="AF19" s="39">
        <f t="shared" si="5"/>
        <v>0.68802000000000008</v>
      </c>
      <c r="AG19" s="40"/>
    </row>
    <row r="20" spans="1:33" ht="33" customHeight="1" x14ac:dyDescent="0.25">
      <c r="A20" s="14"/>
      <c r="B20" s="41" t="s">
        <v>66</v>
      </c>
      <c r="C20" s="33"/>
      <c r="D20" s="33" t="s">
        <v>54</v>
      </c>
      <c r="E20" s="34">
        <v>0.42204999999999998</v>
      </c>
      <c r="F20" s="35">
        <v>0.42204999999999998</v>
      </c>
      <c r="G20" s="35">
        <v>0.42204999999999998</v>
      </c>
      <c r="H20" s="36">
        <f t="shared" si="0"/>
        <v>1.2661499999999999</v>
      </c>
      <c r="I20" s="37">
        <f>0.065+0.0325</f>
        <v>9.7500000000000003E-2</v>
      </c>
      <c r="J20" s="37">
        <f>0.0325+0.065</f>
        <v>9.7500000000000003E-2</v>
      </c>
      <c r="K20" s="37">
        <v>9.7500000000000003E-2</v>
      </c>
      <c r="L20" s="37">
        <f>0.065+0.032275</f>
        <v>9.7275E-2</v>
      </c>
      <c r="M20" s="37">
        <f>0.032275</f>
        <v>3.2274999999999998E-2</v>
      </c>
      <c r="N20" s="38">
        <f t="shared" si="1"/>
        <v>0.42204999999999998</v>
      </c>
      <c r="O20" s="37">
        <f>0.065+0.0325</f>
        <v>9.7500000000000003E-2</v>
      </c>
      <c r="P20" s="37">
        <f>0.0325+0.065</f>
        <v>9.7500000000000003E-2</v>
      </c>
      <c r="Q20" s="37">
        <v>9.7500000000000003E-2</v>
      </c>
      <c r="R20" s="37">
        <f>0.065+0.032275</f>
        <v>9.7275E-2</v>
      </c>
      <c r="S20" s="37">
        <f>0.032275</f>
        <v>3.2274999999999998E-2</v>
      </c>
      <c r="T20" s="38">
        <f t="shared" si="2"/>
        <v>0.42204999999999998</v>
      </c>
      <c r="U20" s="37">
        <f>0.065+0.0325</f>
        <v>9.7500000000000003E-2</v>
      </c>
      <c r="V20" s="37">
        <f>0.0325+0.065</f>
        <v>9.7500000000000003E-2</v>
      </c>
      <c r="W20" s="37">
        <v>9.7500000000000003E-2</v>
      </c>
      <c r="X20" s="37">
        <f>0.065+0.032275</f>
        <v>9.7275E-2</v>
      </c>
      <c r="Y20" s="37">
        <f>0.032275</f>
        <v>3.2274999999999998E-2</v>
      </c>
      <c r="Z20" s="38">
        <f t="shared" si="3"/>
        <v>0.42204999999999998</v>
      </c>
      <c r="AA20" s="37">
        <f t="shared" si="4"/>
        <v>0.29249999999999998</v>
      </c>
      <c r="AB20" s="37">
        <f t="shared" si="4"/>
        <v>0.29249999999999998</v>
      </c>
      <c r="AC20" s="37">
        <f t="shared" si="4"/>
        <v>0.29249999999999998</v>
      </c>
      <c r="AD20" s="37">
        <f t="shared" si="4"/>
        <v>0.291825</v>
      </c>
      <c r="AE20" s="37">
        <f t="shared" si="4"/>
        <v>9.6824999999999994E-2</v>
      </c>
      <c r="AF20" s="39">
        <f t="shared" si="5"/>
        <v>1.2661499999999999</v>
      </c>
      <c r="AG20" s="40"/>
    </row>
    <row r="21" spans="1:33" ht="33" customHeight="1" x14ac:dyDescent="0.25">
      <c r="A21" s="14"/>
      <c r="B21" s="41" t="s">
        <v>67</v>
      </c>
      <c r="C21" s="33"/>
      <c r="D21" s="33" t="s">
        <v>54</v>
      </c>
      <c r="E21" s="34">
        <v>9.7199999999999995E-2</v>
      </c>
      <c r="F21" s="35">
        <v>9.7199999999999995E-2</v>
      </c>
      <c r="G21" s="35">
        <v>9.7199999999999995E-2</v>
      </c>
      <c r="H21" s="36">
        <f t="shared" si="0"/>
        <v>0.29159999999999997</v>
      </c>
      <c r="I21" s="37">
        <v>2.4299999999999999E-2</v>
      </c>
      <c r="J21" s="37">
        <v>2.4299999999999999E-2</v>
      </c>
      <c r="K21" s="37">
        <v>2.4299999999999999E-2</v>
      </c>
      <c r="L21" s="37">
        <v>2.4299999999999999E-2</v>
      </c>
      <c r="M21" s="37"/>
      <c r="N21" s="38">
        <f>I21+J21+K21+L21+M21</f>
        <v>9.7199999999999995E-2</v>
      </c>
      <c r="O21" s="37">
        <v>2.4299999999999999E-2</v>
      </c>
      <c r="P21" s="37">
        <v>2.4299999999999999E-2</v>
      </c>
      <c r="Q21" s="37">
        <v>2.4299999999999999E-2</v>
      </c>
      <c r="R21" s="37">
        <v>2.4299999999999999E-2</v>
      </c>
      <c r="S21" s="37"/>
      <c r="T21" s="38">
        <f>O21+P21+Q21+R21+S21</f>
        <v>9.7199999999999995E-2</v>
      </c>
      <c r="U21" s="37">
        <v>2.4299999999999999E-2</v>
      </c>
      <c r="V21" s="37">
        <v>2.4299999999999999E-2</v>
      </c>
      <c r="W21" s="37">
        <v>2.4299999999999999E-2</v>
      </c>
      <c r="X21" s="37">
        <v>2.4299999999999999E-2</v>
      </c>
      <c r="Y21" s="37"/>
      <c r="Z21" s="38">
        <f>U21+V21+W21+X21+Y21</f>
        <v>9.7199999999999995E-2</v>
      </c>
      <c r="AA21" s="37">
        <f t="shared" si="4"/>
        <v>7.2899999999999993E-2</v>
      </c>
      <c r="AB21" s="37">
        <f t="shared" si="4"/>
        <v>7.2899999999999993E-2</v>
      </c>
      <c r="AC21" s="37">
        <f t="shared" si="4"/>
        <v>7.2899999999999993E-2</v>
      </c>
      <c r="AD21" s="37">
        <f t="shared" si="4"/>
        <v>7.2899999999999993E-2</v>
      </c>
      <c r="AE21" s="37">
        <f t="shared" si="4"/>
        <v>0</v>
      </c>
      <c r="AF21" s="39">
        <f>AA21+AB21+AC21+AD21+AE21</f>
        <v>0.29159999999999997</v>
      </c>
      <c r="AG21" s="40"/>
    </row>
    <row r="22" spans="1:33" ht="33" customHeight="1" x14ac:dyDescent="0.25">
      <c r="A22" s="14"/>
      <c r="B22" s="41" t="s">
        <v>68</v>
      </c>
      <c r="C22" s="33"/>
      <c r="D22" s="33" t="s">
        <v>54</v>
      </c>
      <c r="E22" s="34">
        <v>9.1999999999999998E-3</v>
      </c>
      <c r="F22" s="35">
        <v>9.1999999999999998E-3</v>
      </c>
      <c r="G22" s="35">
        <v>9.1999999999999998E-3</v>
      </c>
      <c r="H22" s="36">
        <f t="shared" si="0"/>
        <v>2.76E-2</v>
      </c>
      <c r="I22" s="37">
        <v>2.3E-3</v>
      </c>
      <c r="J22" s="37">
        <v>2.3E-3</v>
      </c>
      <c r="K22" s="37">
        <v>2.3E-3</v>
      </c>
      <c r="L22" s="37">
        <v>2.3E-3</v>
      </c>
      <c r="M22" s="37"/>
      <c r="N22" s="38">
        <f t="shared" si="1"/>
        <v>9.1999999999999998E-3</v>
      </c>
      <c r="O22" s="37">
        <v>2.3E-3</v>
      </c>
      <c r="P22" s="37">
        <v>2.3E-3</v>
      </c>
      <c r="Q22" s="37">
        <v>2.3E-3</v>
      </c>
      <c r="R22" s="37">
        <v>2.3E-3</v>
      </c>
      <c r="S22" s="37"/>
      <c r="T22" s="38">
        <f t="shared" ref="T22:T23" si="6">O22+P22+Q22+R22+S22</f>
        <v>9.1999999999999998E-3</v>
      </c>
      <c r="U22" s="37">
        <v>2.3E-3</v>
      </c>
      <c r="V22" s="37">
        <v>2.3E-3</v>
      </c>
      <c r="W22" s="37">
        <v>2.3E-3</v>
      </c>
      <c r="X22" s="37">
        <v>2.3E-3</v>
      </c>
      <c r="Y22" s="37"/>
      <c r="Z22" s="38">
        <f t="shared" ref="Z22:Z23" si="7">U22+V22+W22+X22+Y22</f>
        <v>9.1999999999999998E-3</v>
      </c>
      <c r="AA22" s="37">
        <f t="shared" si="4"/>
        <v>6.8999999999999999E-3</v>
      </c>
      <c r="AB22" s="37">
        <f t="shared" si="4"/>
        <v>6.8999999999999999E-3</v>
      </c>
      <c r="AC22" s="37">
        <f t="shared" si="4"/>
        <v>6.8999999999999999E-3</v>
      </c>
      <c r="AD22" s="37">
        <f t="shared" si="4"/>
        <v>6.8999999999999999E-3</v>
      </c>
      <c r="AE22" s="37">
        <f t="shared" si="4"/>
        <v>0</v>
      </c>
      <c r="AF22" s="39">
        <f t="shared" ref="AF22:AF23" si="8">AA22+AB22+AC22+AD22+AE22</f>
        <v>2.76E-2</v>
      </c>
      <c r="AG22" s="40"/>
    </row>
    <row r="23" spans="1:33" ht="33" customHeight="1" x14ac:dyDescent="0.25">
      <c r="A23" s="14"/>
      <c r="B23" s="41" t="s">
        <v>69</v>
      </c>
      <c r="C23" s="33"/>
      <c r="D23" s="33" t="s">
        <v>54</v>
      </c>
      <c r="E23" s="34">
        <v>11.174989999999999</v>
      </c>
      <c r="F23" s="35">
        <v>11.174989999999999</v>
      </c>
      <c r="G23" s="35">
        <v>11.174989999999999</v>
      </c>
      <c r="H23" s="36">
        <f t="shared" si="0"/>
        <v>33.524969999999996</v>
      </c>
      <c r="I23" s="37">
        <v>2.5052500000000002</v>
      </c>
      <c r="J23" s="37">
        <v>2.50305</v>
      </c>
      <c r="K23" s="37">
        <v>2.5053000000000001</v>
      </c>
      <c r="L23" s="37">
        <v>2.5512000000000001</v>
      </c>
      <c r="M23" s="37">
        <f>0.0881+0.1441+0.87799</f>
        <v>1.11019</v>
      </c>
      <c r="N23" s="38">
        <f t="shared" si="1"/>
        <v>11.174989999999999</v>
      </c>
      <c r="O23" s="37">
        <v>2.5052500000000002</v>
      </c>
      <c r="P23" s="37">
        <v>2.50305</v>
      </c>
      <c r="Q23" s="37">
        <v>2.5053000000000001</v>
      </c>
      <c r="R23" s="37">
        <v>2.5512000000000001</v>
      </c>
      <c r="S23" s="37">
        <f>0.0881+0.1441+0.87799</f>
        <v>1.11019</v>
      </c>
      <c r="T23" s="38">
        <f t="shared" si="6"/>
        <v>11.174989999999999</v>
      </c>
      <c r="U23" s="37">
        <v>2.5052500000000002</v>
      </c>
      <c r="V23" s="37">
        <v>2.50305</v>
      </c>
      <c r="W23" s="37">
        <v>2.5053000000000001</v>
      </c>
      <c r="X23" s="37">
        <v>2.5512000000000001</v>
      </c>
      <c r="Y23" s="37">
        <f>0.0881+0.1441+0.87799</f>
        <v>1.11019</v>
      </c>
      <c r="Z23" s="38">
        <f t="shared" si="7"/>
        <v>11.174989999999999</v>
      </c>
      <c r="AA23" s="37">
        <f t="shared" si="4"/>
        <v>7.5157500000000006</v>
      </c>
      <c r="AB23" s="37">
        <f t="shared" si="4"/>
        <v>7.50915</v>
      </c>
      <c r="AC23" s="37">
        <f t="shared" si="4"/>
        <v>7.5159000000000002</v>
      </c>
      <c r="AD23" s="37">
        <f t="shared" si="4"/>
        <v>7.6536000000000008</v>
      </c>
      <c r="AE23" s="37">
        <f t="shared" si="4"/>
        <v>3.3305699999999998</v>
      </c>
      <c r="AF23" s="39">
        <f t="shared" si="8"/>
        <v>33.524970000000003</v>
      </c>
      <c r="AG23" s="40"/>
    </row>
    <row r="24" spans="1:33" ht="33" customHeight="1" x14ac:dyDescent="0.25">
      <c r="A24" s="14"/>
      <c r="B24" s="41"/>
      <c r="C24" s="42" t="s">
        <v>70</v>
      </c>
      <c r="D24" s="42"/>
      <c r="E24" s="43">
        <f>SUM(E7:E23)</f>
        <v>341.23814999999996</v>
      </c>
      <c r="F24" s="43">
        <f t="shared" ref="F24:G24" si="9">SUM(F7:F23)</f>
        <v>341.23814999999996</v>
      </c>
      <c r="G24" s="43">
        <f t="shared" si="9"/>
        <v>341.23814999999996</v>
      </c>
      <c r="H24" s="44">
        <f>E24+F24+G24</f>
        <v>1023.7144499999999</v>
      </c>
      <c r="I24" s="14"/>
      <c r="J24" s="14"/>
      <c r="K24" s="14"/>
      <c r="L24" s="14"/>
      <c r="M24" s="14"/>
      <c r="N24" s="14"/>
      <c r="AA24" s="45">
        <f>SUM(AA7:AA23)</f>
        <v>265.31213580000008</v>
      </c>
      <c r="AB24" s="45">
        <f t="shared" ref="AB24:AE24" si="10">SUM(AB7:AB23)</f>
        <v>232.20459149999996</v>
      </c>
      <c r="AC24" s="45">
        <f t="shared" si="10"/>
        <v>216.02415149999996</v>
      </c>
      <c r="AD24" s="45">
        <f t="shared" si="10"/>
        <v>220.87381200000002</v>
      </c>
      <c r="AE24" s="45">
        <f t="shared" si="10"/>
        <v>89.290330499999996</v>
      </c>
      <c r="AF24" s="46">
        <f>AA24+AB24+AC24+AD24+AE24</f>
        <v>1023.7050213</v>
      </c>
      <c r="AG24" s="47"/>
    </row>
    <row r="25" spans="1:33" s="53" customFormat="1" ht="33" customHeight="1" x14ac:dyDescent="0.25">
      <c r="A25" s="48"/>
      <c r="B25" s="49"/>
      <c r="C25" s="50"/>
      <c r="D25" s="50"/>
      <c r="E25" s="51"/>
      <c r="F25" s="51"/>
      <c r="G25" s="51"/>
      <c r="H25" s="52"/>
      <c r="I25" s="48"/>
      <c r="J25" s="48"/>
      <c r="K25" s="48"/>
      <c r="L25" s="48"/>
      <c r="M25" s="48"/>
      <c r="N25" s="48"/>
      <c r="AA25" s="54"/>
      <c r="AB25" s="54"/>
      <c r="AC25" s="54"/>
      <c r="AD25" s="54"/>
      <c r="AE25" s="54"/>
      <c r="AF25" s="55"/>
      <c r="AG25" s="47"/>
    </row>
    <row r="26" spans="1:33" ht="33" customHeight="1" x14ac:dyDescent="0.25">
      <c r="A26" s="14"/>
      <c r="B26" s="56" t="s">
        <v>71</v>
      </c>
      <c r="C26" s="57"/>
      <c r="D26" s="57"/>
      <c r="E26" s="58" t="s">
        <v>34</v>
      </c>
      <c r="F26" s="58" t="s">
        <v>35</v>
      </c>
      <c r="G26" s="58" t="s">
        <v>36</v>
      </c>
      <c r="H26" s="27" t="s">
        <v>39</v>
      </c>
      <c r="I26" s="32"/>
      <c r="J26" s="32"/>
      <c r="K26" s="32"/>
      <c r="L26" s="32"/>
      <c r="M26" s="32"/>
      <c r="N26" s="32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60" t="s">
        <v>72</v>
      </c>
      <c r="AB26" s="60" t="s">
        <v>73</v>
      </c>
      <c r="AC26" s="60" t="s">
        <v>74</v>
      </c>
      <c r="AD26" s="60" t="s">
        <v>75</v>
      </c>
      <c r="AE26" s="60" t="s">
        <v>76</v>
      </c>
      <c r="AF26" s="60" t="s">
        <v>77</v>
      </c>
      <c r="AG26" s="61" t="s">
        <v>46</v>
      </c>
    </row>
    <row r="27" spans="1:33" x14ac:dyDescent="0.25">
      <c r="A27" s="14"/>
      <c r="B27" s="62"/>
      <c r="C27" s="63"/>
      <c r="D27" s="63"/>
      <c r="E27" s="64"/>
      <c r="F27" s="64"/>
      <c r="G27" s="64"/>
      <c r="H27" s="65"/>
      <c r="I27" s="32"/>
      <c r="J27" s="32"/>
      <c r="K27" s="32"/>
      <c r="L27" s="32"/>
      <c r="M27" s="32"/>
      <c r="N27" s="32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84">
        <v>44044</v>
      </c>
      <c r="AB27" s="84">
        <v>44075</v>
      </c>
      <c r="AC27" s="84">
        <v>44105</v>
      </c>
      <c r="AD27" s="84">
        <v>44136</v>
      </c>
      <c r="AE27" s="84">
        <v>44166</v>
      </c>
      <c r="AF27" s="84">
        <v>44197</v>
      </c>
      <c r="AG27" s="66"/>
    </row>
    <row r="28" spans="1:33" ht="15.75" x14ac:dyDescent="0.25">
      <c r="A28" s="14"/>
      <c r="B28" s="67" t="s">
        <v>2</v>
      </c>
      <c r="C28" s="67"/>
      <c r="D28" s="33" t="s">
        <v>54</v>
      </c>
      <c r="E28" s="68">
        <v>5.2590000000000003</v>
      </c>
      <c r="F28" s="68">
        <v>5.2590000000000003</v>
      </c>
      <c r="G28" s="68">
        <v>5.2590000000000003</v>
      </c>
      <c r="H28" s="69">
        <f>E28+F28+G28</f>
        <v>15.777000000000001</v>
      </c>
      <c r="I28" s="32"/>
      <c r="J28" s="32"/>
      <c r="K28" s="32"/>
      <c r="L28" s="32"/>
      <c r="M28" s="32"/>
      <c r="N28" s="32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>
        <f>0.928059*3</f>
        <v>2.7841769999999997</v>
      </c>
      <c r="AB28" s="59">
        <f t="shared" ref="AB28:AE28" si="11">0.928059*3</f>
        <v>2.7841769999999997</v>
      </c>
      <c r="AC28" s="59">
        <f t="shared" si="11"/>
        <v>2.7841769999999997</v>
      </c>
      <c r="AD28" s="59">
        <f t="shared" si="11"/>
        <v>2.7841769999999997</v>
      </c>
      <c r="AE28" s="59">
        <f t="shared" si="11"/>
        <v>2.7841769999999997</v>
      </c>
      <c r="AF28" s="59">
        <f>0.928059*2</f>
        <v>1.8561179999999999</v>
      </c>
      <c r="AG28" s="66">
        <f>AA28+AB28+AC28+AD28+AE28+AF28</f>
        <v>15.777002999999999</v>
      </c>
    </row>
    <row r="29" spans="1:33" ht="15.75" x14ac:dyDescent="0.25">
      <c r="A29" s="14"/>
      <c r="B29" s="67" t="s">
        <v>78</v>
      </c>
      <c r="C29" s="67"/>
      <c r="D29" s="33" t="s">
        <v>54</v>
      </c>
      <c r="E29" s="68">
        <v>0.22500000000000001</v>
      </c>
      <c r="F29" s="68">
        <v>0.22500000000000001</v>
      </c>
      <c r="G29" s="68">
        <v>0.22500000000000001</v>
      </c>
      <c r="H29" s="69">
        <f t="shared" ref="H29:H41" si="12">E29+F29+G29</f>
        <v>0.67500000000000004</v>
      </c>
      <c r="I29" s="32"/>
      <c r="J29" s="32"/>
      <c r="K29" s="32"/>
      <c r="L29" s="32"/>
      <c r="M29" s="32"/>
      <c r="N29" s="32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>
        <f>0.039706*3</f>
        <v>0.119118</v>
      </c>
      <c r="AB29" s="59">
        <f t="shared" ref="AB29:AE29" si="13">0.039706*3</f>
        <v>0.119118</v>
      </c>
      <c r="AC29" s="59">
        <f t="shared" si="13"/>
        <v>0.119118</v>
      </c>
      <c r="AD29" s="59">
        <f t="shared" si="13"/>
        <v>0.119118</v>
      </c>
      <c r="AE29" s="59">
        <f t="shared" si="13"/>
        <v>0.119118</v>
      </c>
      <c r="AF29" s="59">
        <f>0.039706*2</f>
        <v>7.9411999999999996E-2</v>
      </c>
      <c r="AG29" s="66">
        <f t="shared" ref="AG29:AG44" si="14">AA29+AB29+AC29+AD29+AE29+AF29</f>
        <v>0.6750020000000001</v>
      </c>
    </row>
    <row r="30" spans="1:33" ht="63" x14ac:dyDescent="0.25">
      <c r="A30" s="14"/>
      <c r="B30" s="67" t="s">
        <v>3</v>
      </c>
      <c r="C30" s="67"/>
      <c r="D30" s="33" t="s">
        <v>54</v>
      </c>
      <c r="E30" s="68">
        <v>1.8160000000000001</v>
      </c>
      <c r="F30" s="68">
        <v>1.8160000000000001</v>
      </c>
      <c r="G30" s="68">
        <v>1.8160000000000001</v>
      </c>
      <c r="H30" s="69">
        <f t="shared" si="12"/>
        <v>5.4480000000000004</v>
      </c>
      <c r="I30" s="32"/>
      <c r="J30" s="32"/>
      <c r="K30" s="32"/>
      <c r="L30" s="32"/>
      <c r="M30" s="32"/>
      <c r="N30" s="32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>
        <f>0.320471*3</f>
        <v>0.96141300000000007</v>
      </c>
      <c r="AB30" s="59">
        <f t="shared" ref="AB30:AE30" si="15">0.320471*3</f>
        <v>0.96141300000000007</v>
      </c>
      <c r="AC30" s="59">
        <f t="shared" si="15"/>
        <v>0.96141300000000007</v>
      </c>
      <c r="AD30" s="59">
        <f t="shared" si="15"/>
        <v>0.96141300000000007</v>
      </c>
      <c r="AE30" s="59">
        <f t="shared" si="15"/>
        <v>0.96141300000000007</v>
      </c>
      <c r="AF30" s="59">
        <f>0.320471*2</f>
        <v>0.64094200000000001</v>
      </c>
      <c r="AG30" s="66">
        <f t="shared" si="14"/>
        <v>5.4480070000000005</v>
      </c>
    </row>
    <row r="31" spans="1:33" ht="15.75" x14ac:dyDescent="0.25">
      <c r="A31" s="14"/>
      <c r="B31" s="67" t="s">
        <v>79</v>
      </c>
      <c r="C31" s="67"/>
      <c r="D31" s="33" t="s">
        <v>54</v>
      </c>
      <c r="E31" s="68">
        <v>10.234999999999999</v>
      </c>
      <c r="F31" s="68">
        <v>10.234999999999999</v>
      </c>
      <c r="G31" s="68">
        <v>10.234999999999999</v>
      </c>
      <c r="H31" s="69">
        <f t="shared" si="12"/>
        <v>30.704999999999998</v>
      </c>
      <c r="I31" s="32"/>
      <c r="J31" s="32"/>
      <c r="K31" s="32"/>
      <c r="L31" s="32"/>
      <c r="M31" s="32"/>
      <c r="N31" s="32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>
        <f>1.806176*3</f>
        <v>5.4185280000000002</v>
      </c>
      <c r="AB31" s="59">
        <f t="shared" ref="AB31:AE31" si="16">1.806176*3</f>
        <v>5.4185280000000002</v>
      </c>
      <c r="AC31" s="59">
        <f t="shared" si="16"/>
        <v>5.4185280000000002</v>
      </c>
      <c r="AD31" s="59">
        <f t="shared" si="16"/>
        <v>5.4185280000000002</v>
      </c>
      <c r="AE31" s="59">
        <f t="shared" si="16"/>
        <v>5.4185280000000002</v>
      </c>
      <c r="AF31" s="59">
        <f>1.806176*2</f>
        <v>3.612352</v>
      </c>
      <c r="AG31" s="66">
        <f t="shared" si="14"/>
        <v>30.704992000000004</v>
      </c>
    </row>
    <row r="32" spans="1:33" ht="15.75" x14ac:dyDescent="0.25">
      <c r="A32" s="14"/>
      <c r="B32" s="70" t="s">
        <v>80</v>
      </c>
      <c r="C32" s="67"/>
      <c r="D32" s="33" t="s">
        <v>54</v>
      </c>
      <c r="E32" s="68">
        <v>1.1240000000000001</v>
      </c>
      <c r="F32" s="68">
        <v>1.1240000000000001</v>
      </c>
      <c r="G32" s="68">
        <v>1.1240000000000001</v>
      </c>
      <c r="H32" s="69">
        <f t="shared" si="12"/>
        <v>3.3720000000000003</v>
      </c>
      <c r="I32" s="32"/>
      <c r="J32" s="32"/>
      <c r="K32" s="32"/>
      <c r="L32" s="32"/>
      <c r="M32" s="32"/>
      <c r="N32" s="32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>
        <f>0.198353*3</f>
        <v>0.595059</v>
      </c>
      <c r="AB32" s="59">
        <f t="shared" ref="AB32:AE32" si="17">0.198353*3</f>
        <v>0.595059</v>
      </c>
      <c r="AC32" s="59">
        <f t="shared" si="17"/>
        <v>0.595059</v>
      </c>
      <c r="AD32" s="59">
        <f t="shared" si="17"/>
        <v>0.595059</v>
      </c>
      <c r="AE32" s="59">
        <f t="shared" si="17"/>
        <v>0.595059</v>
      </c>
      <c r="AF32" s="59">
        <f>0.198353*2</f>
        <v>0.396706</v>
      </c>
      <c r="AG32" s="66">
        <f t="shared" si="14"/>
        <v>3.372001</v>
      </c>
    </row>
    <row r="33" spans="1:35" ht="31.5" x14ac:dyDescent="0.25">
      <c r="A33" s="14"/>
      <c r="B33" s="67" t="s">
        <v>4</v>
      </c>
      <c r="C33" s="67"/>
      <c r="D33" s="33" t="s">
        <v>54</v>
      </c>
      <c r="E33" s="68">
        <v>5.9699999999999996E-3</v>
      </c>
      <c r="F33" s="68">
        <v>5.9699999999999996E-3</v>
      </c>
      <c r="G33" s="68">
        <v>5.9699999999999996E-3</v>
      </c>
      <c r="H33" s="69">
        <f t="shared" si="12"/>
        <v>1.7909999999999999E-2</v>
      </c>
      <c r="I33" s="32"/>
      <c r="J33" s="32"/>
      <c r="K33" s="32"/>
      <c r="L33" s="32"/>
      <c r="M33" s="32"/>
      <c r="N33" s="32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>
        <f>0.001054*3</f>
        <v>3.1619999999999999E-3</v>
      </c>
      <c r="AB33" s="59">
        <f t="shared" ref="AB33:AE33" si="18">0.001054*3</f>
        <v>3.1619999999999999E-3</v>
      </c>
      <c r="AC33" s="59">
        <f t="shared" si="18"/>
        <v>3.1619999999999999E-3</v>
      </c>
      <c r="AD33" s="59">
        <f t="shared" si="18"/>
        <v>3.1619999999999999E-3</v>
      </c>
      <c r="AE33" s="59">
        <f t="shared" si="18"/>
        <v>3.1619999999999999E-3</v>
      </c>
      <c r="AF33" s="59">
        <f>0.001054*2</f>
        <v>2.1080000000000001E-3</v>
      </c>
      <c r="AG33" s="66">
        <f t="shared" si="14"/>
        <v>1.7917999999999996E-2</v>
      </c>
    </row>
    <row r="34" spans="1:35" ht="31.5" x14ac:dyDescent="0.25">
      <c r="A34" s="14"/>
      <c r="B34" s="67" t="s">
        <v>5</v>
      </c>
      <c r="C34" s="67"/>
      <c r="D34" s="33" t="s">
        <v>54</v>
      </c>
      <c r="E34" s="68">
        <v>3.7400000000000003E-2</v>
      </c>
      <c r="F34" s="68">
        <v>3.7400000000000003E-2</v>
      </c>
      <c r="G34" s="68">
        <v>3.7400000000000003E-2</v>
      </c>
      <c r="H34" s="69">
        <f t="shared" si="12"/>
        <v>0.11220000000000001</v>
      </c>
      <c r="I34" s="32"/>
      <c r="J34" s="32"/>
      <c r="K34" s="32"/>
      <c r="L34" s="32"/>
      <c r="M34" s="32"/>
      <c r="N34" s="32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>
        <f>0.0066*3</f>
        <v>1.9799999999999998E-2</v>
      </c>
      <c r="AB34" s="59">
        <f t="shared" ref="AB34:AE34" si="19">0.0066*3</f>
        <v>1.9799999999999998E-2</v>
      </c>
      <c r="AC34" s="59">
        <f t="shared" si="19"/>
        <v>1.9799999999999998E-2</v>
      </c>
      <c r="AD34" s="59">
        <f t="shared" si="19"/>
        <v>1.9799999999999998E-2</v>
      </c>
      <c r="AE34" s="59">
        <f t="shared" si="19"/>
        <v>1.9799999999999998E-2</v>
      </c>
      <c r="AF34" s="59">
        <f>0.0066*2</f>
        <v>1.32E-2</v>
      </c>
      <c r="AG34" s="66">
        <f t="shared" si="14"/>
        <v>0.11219999999999999</v>
      </c>
    </row>
    <row r="35" spans="1:35" ht="31.5" x14ac:dyDescent="0.25">
      <c r="A35" s="14"/>
      <c r="B35" s="71" t="s">
        <v>6</v>
      </c>
      <c r="C35" s="71"/>
      <c r="D35" s="33" t="s">
        <v>54</v>
      </c>
      <c r="E35" s="68">
        <v>4.3639999999999999</v>
      </c>
      <c r="F35" s="68">
        <v>4.3639999999999999</v>
      </c>
      <c r="G35" s="68">
        <v>4.3639999999999999</v>
      </c>
      <c r="H35" s="69">
        <f t="shared" si="12"/>
        <v>13.091999999999999</v>
      </c>
      <c r="I35" s="32"/>
      <c r="J35" s="32"/>
      <c r="K35" s="32"/>
      <c r="L35" s="32"/>
      <c r="M35" s="32"/>
      <c r="N35" s="32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>
        <f>0.770118*3</f>
        <v>2.3103539999999998</v>
      </c>
      <c r="AB35" s="59">
        <f t="shared" ref="AB35:AE35" si="20">0.770118*3</f>
        <v>2.3103539999999998</v>
      </c>
      <c r="AC35" s="59">
        <f t="shared" si="20"/>
        <v>2.3103539999999998</v>
      </c>
      <c r="AD35" s="59">
        <f t="shared" si="20"/>
        <v>2.3103539999999998</v>
      </c>
      <c r="AE35" s="59">
        <f t="shared" si="20"/>
        <v>2.3103539999999998</v>
      </c>
      <c r="AF35" s="59">
        <f>0.770118*2</f>
        <v>1.5402359999999999</v>
      </c>
      <c r="AG35" s="66">
        <f t="shared" si="14"/>
        <v>13.092006</v>
      </c>
    </row>
    <row r="36" spans="1:35" ht="31.5" x14ac:dyDescent="0.25">
      <c r="A36" s="14"/>
      <c r="B36" s="67" t="s">
        <v>7</v>
      </c>
      <c r="C36" s="67"/>
      <c r="D36" s="33" t="s">
        <v>54</v>
      </c>
      <c r="E36" s="68">
        <v>3.64</v>
      </c>
      <c r="F36" s="68">
        <v>3.64</v>
      </c>
      <c r="G36" s="68">
        <v>3.64</v>
      </c>
      <c r="H36" s="69">
        <f t="shared" si="12"/>
        <v>10.92</v>
      </c>
      <c r="I36" s="32"/>
      <c r="J36" s="32"/>
      <c r="K36" s="32"/>
      <c r="L36" s="32"/>
      <c r="M36" s="32"/>
      <c r="N36" s="32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>
        <f>0.642353*3</f>
        <v>1.9270589999999999</v>
      </c>
      <c r="AB36" s="59">
        <f t="shared" ref="AB36:AE36" si="21">0.642353*3</f>
        <v>1.9270589999999999</v>
      </c>
      <c r="AC36" s="59">
        <f t="shared" si="21"/>
        <v>1.9270589999999999</v>
      </c>
      <c r="AD36" s="59">
        <f t="shared" si="21"/>
        <v>1.9270589999999999</v>
      </c>
      <c r="AE36" s="59">
        <f t="shared" si="21"/>
        <v>1.9270589999999999</v>
      </c>
      <c r="AF36" s="59">
        <f>0.642353*2</f>
        <v>1.2847059999999999</v>
      </c>
      <c r="AG36" s="66">
        <f t="shared" si="14"/>
        <v>10.920000999999999</v>
      </c>
    </row>
    <row r="37" spans="1:35" ht="15.75" x14ac:dyDescent="0.25">
      <c r="A37" s="14"/>
      <c r="B37" s="71" t="s">
        <v>8</v>
      </c>
      <c r="C37" s="71"/>
      <c r="D37" s="33" t="s">
        <v>54</v>
      </c>
      <c r="E37" s="68">
        <v>4.0949999999999998</v>
      </c>
      <c r="F37" s="68">
        <v>4.0949999999999998</v>
      </c>
      <c r="G37" s="68">
        <v>4.0949999999999998</v>
      </c>
      <c r="H37" s="69">
        <f t="shared" si="12"/>
        <v>12.285</v>
      </c>
      <c r="I37" s="32"/>
      <c r="J37" s="32"/>
      <c r="K37" s="32"/>
      <c r="L37" s="32"/>
      <c r="M37" s="32"/>
      <c r="N37" s="32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>
        <f>0.722647*3</f>
        <v>2.1679409999999999</v>
      </c>
      <c r="AB37" s="59">
        <f t="shared" ref="AB37:AE37" si="22">0.722647*3</f>
        <v>2.1679409999999999</v>
      </c>
      <c r="AC37" s="59">
        <f t="shared" si="22"/>
        <v>2.1679409999999999</v>
      </c>
      <c r="AD37" s="59">
        <f t="shared" si="22"/>
        <v>2.1679409999999999</v>
      </c>
      <c r="AE37" s="59">
        <f t="shared" si="22"/>
        <v>2.1679409999999999</v>
      </c>
      <c r="AF37" s="59">
        <f>0.722647*2</f>
        <v>1.4452940000000001</v>
      </c>
      <c r="AG37" s="66">
        <f t="shared" si="14"/>
        <v>12.284998999999999</v>
      </c>
      <c r="AH37" s="72"/>
    </row>
    <row r="38" spans="1:35" ht="15.75" x14ac:dyDescent="0.25">
      <c r="A38" s="14"/>
      <c r="B38" s="71" t="s">
        <v>9</v>
      </c>
      <c r="C38" s="71"/>
      <c r="D38" s="33" t="s">
        <v>54</v>
      </c>
      <c r="E38" s="68">
        <v>4.2169999999999996</v>
      </c>
      <c r="F38" s="68">
        <v>4.2169999999999996</v>
      </c>
      <c r="G38" s="68">
        <v>4.2169999999999996</v>
      </c>
      <c r="H38" s="69">
        <f t="shared" si="12"/>
        <v>12.651</v>
      </c>
      <c r="I38" s="32"/>
      <c r="J38" s="32"/>
      <c r="K38" s="32"/>
      <c r="L38" s="32"/>
      <c r="M38" s="32"/>
      <c r="N38" s="32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>
        <f>0.744176*3</f>
        <v>2.2325279999999998</v>
      </c>
      <c r="AB38" s="59">
        <f t="shared" ref="AB38:AE38" si="23">0.744176*3</f>
        <v>2.2325279999999998</v>
      </c>
      <c r="AC38" s="59">
        <f t="shared" si="23"/>
        <v>2.2325279999999998</v>
      </c>
      <c r="AD38" s="59">
        <f t="shared" si="23"/>
        <v>2.2325279999999998</v>
      </c>
      <c r="AE38" s="59">
        <f t="shared" si="23"/>
        <v>2.2325279999999998</v>
      </c>
      <c r="AF38" s="59">
        <f>0.744176*2</f>
        <v>1.4883519999999999</v>
      </c>
      <c r="AG38" s="66">
        <f t="shared" si="14"/>
        <v>12.650991999999999</v>
      </c>
      <c r="AH38" s="73"/>
      <c r="AI38" s="74"/>
    </row>
    <row r="39" spans="1:35" ht="15.75" x14ac:dyDescent="0.25">
      <c r="A39" s="14"/>
      <c r="B39" s="71" t="s">
        <v>10</v>
      </c>
      <c r="C39" s="71"/>
      <c r="D39" s="33" t="s">
        <v>54</v>
      </c>
      <c r="E39" s="68">
        <v>0.41199999999999998</v>
      </c>
      <c r="F39" s="68">
        <v>0.41199999999999998</v>
      </c>
      <c r="G39" s="68">
        <v>0.41199999999999998</v>
      </c>
      <c r="H39" s="69">
        <f t="shared" si="12"/>
        <v>1.236</v>
      </c>
      <c r="I39" s="32"/>
      <c r="J39" s="32"/>
      <c r="K39" s="32"/>
      <c r="L39" s="32"/>
      <c r="M39" s="32"/>
      <c r="N39" s="32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>
        <f>0.072706*3</f>
        <v>0.21811800000000003</v>
      </c>
      <c r="AB39" s="59">
        <f t="shared" ref="AB39:AE39" si="24">0.072706*3</f>
        <v>0.21811800000000003</v>
      </c>
      <c r="AC39" s="59">
        <f t="shared" si="24"/>
        <v>0.21811800000000003</v>
      </c>
      <c r="AD39" s="59">
        <f t="shared" si="24"/>
        <v>0.21811800000000003</v>
      </c>
      <c r="AE39" s="59">
        <f t="shared" si="24"/>
        <v>0.21811800000000003</v>
      </c>
      <c r="AF39" s="59">
        <f>0.072706*2</f>
        <v>0.14541200000000001</v>
      </c>
      <c r="AG39" s="66">
        <f t="shared" si="14"/>
        <v>1.2360020000000003</v>
      </c>
      <c r="AH39" s="73"/>
      <c r="AI39" s="74"/>
    </row>
    <row r="40" spans="1:35" ht="15.75" x14ac:dyDescent="0.25">
      <c r="A40" s="14"/>
      <c r="B40" s="71" t="s">
        <v>11</v>
      </c>
      <c r="C40" s="71"/>
      <c r="D40" s="33" t="s">
        <v>54</v>
      </c>
      <c r="E40" s="68">
        <v>0.124</v>
      </c>
      <c r="F40" s="68">
        <v>0.124</v>
      </c>
      <c r="G40" s="68">
        <v>0.124</v>
      </c>
      <c r="H40" s="69">
        <f t="shared" si="12"/>
        <v>0.372</v>
      </c>
      <c r="I40" s="32"/>
      <c r="J40" s="32"/>
      <c r="K40" s="32"/>
      <c r="L40" s="32"/>
      <c r="M40" s="32"/>
      <c r="N40" s="32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>
        <f>0.021882*3</f>
        <v>6.5645999999999996E-2</v>
      </c>
      <c r="AB40" s="59">
        <f t="shared" ref="AB40:AE40" si="25">0.021882*3</f>
        <v>6.5645999999999996E-2</v>
      </c>
      <c r="AC40" s="59">
        <f t="shared" si="25"/>
        <v>6.5645999999999996E-2</v>
      </c>
      <c r="AD40" s="59">
        <f t="shared" si="25"/>
        <v>6.5645999999999996E-2</v>
      </c>
      <c r="AE40" s="59">
        <f t="shared" si="25"/>
        <v>6.5645999999999996E-2</v>
      </c>
      <c r="AF40" s="59">
        <f>0.021882*2</f>
        <v>4.3763999999999997E-2</v>
      </c>
      <c r="AG40" s="66">
        <f t="shared" si="14"/>
        <v>0.37199399999999994</v>
      </c>
      <c r="AH40" s="73"/>
      <c r="AI40" s="74"/>
    </row>
    <row r="41" spans="1:35" ht="15.75" x14ac:dyDescent="0.25">
      <c r="A41" s="14"/>
      <c r="B41" s="71" t="s">
        <v>12</v>
      </c>
      <c r="C41" s="71"/>
      <c r="D41" s="33" t="s">
        <v>54</v>
      </c>
      <c r="E41" s="68">
        <v>9.8000000000000004E-2</v>
      </c>
      <c r="F41" s="68">
        <v>9.8000000000000004E-2</v>
      </c>
      <c r="G41" s="68">
        <v>9.8000000000000004E-2</v>
      </c>
      <c r="H41" s="69">
        <f t="shared" si="12"/>
        <v>0.29400000000000004</v>
      </c>
      <c r="I41" s="32"/>
      <c r="J41" s="32"/>
      <c r="K41" s="32"/>
      <c r="L41" s="32"/>
      <c r="M41" s="32"/>
      <c r="N41" s="32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>
        <f>0.017294*3</f>
        <v>5.1881999999999998E-2</v>
      </c>
      <c r="AB41" s="59">
        <f t="shared" ref="AB41:AE41" si="26">0.017294*3</f>
        <v>5.1881999999999998E-2</v>
      </c>
      <c r="AC41" s="59">
        <f t="shared" si="26"/>
        <v>5.1881999999999998E-2</v>
      </c>
      <c r="AD41" s="59">
        <f t="shared" si="26"/>
        <v>5.1881999999999998E-2</v>
      </c>
      <c r="AE41" s="59">
        <f t="shared" si="26"/>
        <v>5.1881999999999998E-2</v>
      </c>
      <c r="AF41" s="59">
        <f>0.017294*2</f>
        <v>3.4588000000000001E-2</v>
      </c>
      <c r="AG41" s="66">
        <f t="shared" si="14"/>
        <v>0.29399799999999998</v>
      </c>
      <c r="AH41" s="73"/>
      <c r="AI41" s="74"/>
    </row>
    <row r="42" spans="1:35" ht="78.75" x14ac:dyDescent="0.25">
      <c r="A42" s="14"/>
      <c r="B42" s="71" t="s">
        <v>13</v>
      </c>
      <c r="C42" s="71"/>
      <c r="D42" s="33" t="s">
        <v>54</v>
      </c>
      <c r="E42" s="68">
        <v>11.7348</v>
      </c>
      <c r="F42" s="68">
        <v>11.7348</v>
      </c>
      <c r="G42" s="68">
        <v>11.7348</v>
      </c>
      <c r="H42" s="69">
        <f>E42+F42+G42</f>
        <v>35.2044</v>
      </c>
      <c r="I42" s="32"/>
      <c r="J42" s="32"/>
      <c r="K42" s="32"/>
      <c r="L42" s="32"/>
      <c r="M42" s="32"/>
      <c r="N42" s="32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>
        <f>2.070847*3</f>
        <v>6.2125409999999999</v>
      </c>
      <c r="AB42" s="59">
        <f t="shared" ref="AB42:AE42" si="27">2.070847*3</f>
        <v>6.2125409999999999</v>
      </c>
      <c r="AC42" s="59">
        <f t="shared" si="27"/>
        <v>6.2125409999999999</v>
      </c>
      <c r="AD42" s="59">
        <f t="shared" si="27"/>
        <v>6.2125409999999999</v>
      </c>
      <c r="AE42" s="59">
        <f t="shared" si="27"/>
        <v>6.2125409999999999</v>
      </c>
      <c r="AF42" s="59">
        <f>2.070847*2</f>
        <v>4.1416940000000002</v>
      </c>
      <c r="AG42" s="66">
        <f t="shared" si="14"/>
        <v>35.204399000000002</v>
      </c>
      <c r="AH42" s="73"/>
      <c r="AI42" s="74"/>
    </row>
    <row r="43" spans="1:35" ht="15.75" x14ac:dyDescent="0.25">
      <c r="A43" s="14"/>
      <c r="B43" s="75"/>
      <c r="C43" s="75"/>
      <c r="D43" s="33"/>
      <c r="E43" s="68"/>
      <c r="F43" s="68"/>
      <c r="G43" s="68"/>
      <c r="H43" s="69"/>
      <c r="I43" s="32"/>
      <c r="J43" s="32"/>
      <c r="K43" s="32"/>
      <c r="L43" s="32"/>
      <c r="M43" s="32"/>
      <c r="N43" s="32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66">
        <f t="shared" si="14"/>
        <v>0</v>
      </c>
      <c r="AH43" s="73"/>
      <c r="AI43" s="74"/>
    </row>
    <row r="44" spans="1:35" ht="15.75" x14ac:dyDescent="0.25">
      <c r="A44" s="14"/>
      <c r="B44" s="75" t="s">
        <v>14</v>
      </c>
      <c r="C44" s="75"/>
      <c r="D44" s="33" t="s">
        <v>54</v>
      </c>
      <c r="E44" s="68">
        <v>10.88</v>
      </c>
      <c r="F44" s="68">
        <v>10.88</v>
      </c>
      <c r="G44" s="68">
        <v>10.88</v>
      </c>
      <c r="H44" s="69">
        <f>E44+F44+G44</f>
        <v>32.64</v>
      </c>
      <c r="I44" s="32"/>
      <c r="J44" s="32"/>
      <c r="K44" s="32"/>
      <c r="L44" s="32"/>
      <c r="M44" s="32"/>
      <c r="N44" s="32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>
        <f>H44/2</f>
        <v>16.32</v>
      </c>
      <c r="AE44" s="59">
        <f>H44/2</f>
        <v>16.32</v>
      </c>
      <c r="AF44" s="59"/>
      <c r="AG44" s="66">
        <f t="shared" si="14"/>
        <v>32.64</v>
      </c>
      <c r="AH44" s="73"/>
      <c r="AI44" s="74"/>
    </row>
    <row r="45" spans="1:35" x14ac:dyDescent="0.25">
      <c r="A45" s="14"/>
      <c r="B45" s="32"/>
      <c r="C45" s="76" t="s">
        <v>70</v>
      </c>
      <c r="D45" s="76"/>
      <c r="E45" s="77">
        <f>SUM(E28:E44)</f>
        <v>58.267170000000007</v>
      </c>
      <c r="F45" s="77">
        <f t="shared" ref="F45:G45" si="28">SUM(F28:F44)</f>
        <v>58.267170000000007</v>
      </c>
      <c r="G45" s="77">
        <f t="shared" si="28"/>
        <v>58.267170000000007</v>
      </c>
      <c r="H45" s="78">
        <f>SUM(E45:G45)</f>
        <v>174.80151000000001</v>
      </c>
      <c r="I45" s="32"/>
      <c r="J45" s="32"/>
      <c r="K45" s="32"/>
      <c r="L45" s="32"/>
      <c r="M45" s="32"/>
      <c r="N45" s="32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79">
        <f>SUM(AA28:AA44)</f>
        <v>25.087325999999997</v>
      </c>
      <c r="AB45" s="79">
        <f t="shared" ref="AB45:AF45" si="29">SUM(AB28:AB44)</f>
        <v>25.087325999999997</v>
      </c>
      <c r="AC45" s="79">
        <f t="shared" si="29"/>
        <v>25.087325999999997</v>
      </c>
      <c r="AD45" s="79">
        <f t="shared" si="29"/>
        <v>41.407325999999998</v>
      </c>
      <c r="AE45" s="79">
        <f t="shared" si="29"/>
        <v>41.407325999999998</v>
      </c>
      <c r="AF45" s="79">
        <f t="shared" si="29"/>
        <v>16.724883999999999</v>
      </c>
      <c r="AG45" s="66">
        <f>AA45+AB45+AC45+AD45+AE45+AF45</f>
        <v>174.801514</v>
      </c>
    </row>
    <row r="46" spans="1:35" x14ac:dyDescent="0.25">
      <c r="A46" s="14"/>
      <c r="B46" s="32"/>
      <c r="C46" s="32"/>
      <c r="D46" s="32"/>
      <c r="E46" s="68"/>
      <c r="F46" s="32"/>
      <c r="G46" s="32"/>
      <c r="H46" s="32"/>
      <c r="I46" s="14"/>
      <c r="J46" s="14"/>
      <c r="K46" s="14"/>
      <c r="L46" s="14"/>
      <c r="M46" s="14"/>
      <c r="N46" s="14"/>
    </row>
    <row r="47" spans="1:35" x14ac:dyDescent="0.25">
      <c r="A47" s="14"/>
      <c r="B47" s="14"/>
      <c r="C47" s="80" t="s">
        <v>81</v>
      </c>
      <c r="D47" s="80"/>
      <c r="E47" s="81">
        <f>E24+E45</f>
        <v>399.50531999999998</v>
      </c>
      <c r="F47" s="81">
        <f>F24+F45</f>
        <v>399.50531999999998</v>
      </c>
      <c r="G47" s="81">
        <f>G24+G45</f>
        <v>399.50531999999998</v>
      </c>
      <c r="H47" s="82">
        <f>H24+H45</f>
        <v>1198.51596</v>
      </c>
      <c r="I47" s="14"/>
      <c r="J47" s="14"/>
      <c r="K47" s="14"/>
      <c r="L47" s="14"/>
      <c r="M47" s="14"/>
      <c r="N47" s="14"/>
      <c r="AG47" s="79">
        <f>AG45+AF24</f>
        <v>1198.5065353</v>
      </c>
    </row>
    <row r="48" spans="1:35" x14ac:dyDescent="0.25">
      <c r="A48" s="14"/>
      <c r="B48" s="14"/>
      <c r="C48" s="14"/>
      <c r="D48" s="14"/>
      <c r="E48" s="15"/>
      <c r="F48" s="14"/>
      <c r="G48" s="14"/>
      <c r="H48" s="14"/>
      <c r="I48" s="14"/>
      <c r="J48" s="14"/>
      <c r="K48" s="14"/>
      <c r="L48" s="14"/>
      <c r="M48" s="14"/>
      <c r="N48" s="14"/>
    </row>
  </sheetData>
  <mergeCells count="4">
    <mergeCell ref="I4:N4"/>
    <mergeCell ref="O4:T4"/>
    <mergeCell ref="U4:Z4"/>
    <mergeCell ref="AA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Черника - объект №1</vt:lpstr>
      <vt:lpstr>Фиалка - объект №2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2020-07-22T13:44:40Z</cp:lastPrinted>
  <dcterms:created xsi:type="dcterms:W3CDTF">2020-07-21T15:24:54Z</dcterms:created>
  <dcterms:modified xsi:type="dcterms:W3CDTF">2020-07-27T13:02:24Z</dcterms:modified>
</cp:coreProperties>
</file>